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495" windowWidth="25440" windowHeight="15990" activeTab="3"/>
  </bookViews>
  <sheets>
    <sheet name="Instructivo" sheetId="2" r:id="rId1"/>
    <sheet name="Estado SCI" sheetId="1" r:id="rId2"/>
    <sheet name="Análisis Resultados" sheetId="3" r:id="rId3"/>
    <sheet name="Conclusión" sheetId="5" r:id="rId4"/>
    <sheet name="Hoja1" sheetId="6" state="hidden" r:id="rId5"/>
  </sheets>
  <externalReferences>
    <externalReference r:id="rId6"/>
  </externalReferences>
  <definedNames>
    <definedName name="_xlnm._FilterDatabase" localSheetId="4" hidden="1">Hoja1!$A$1:$K$45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9" i="1" l="1"/>
  <c r="J58" i="1"/>
  <c r="J57" i="1"/>
  <c r="J56" i="1"/>
  <c r="J55" i="1"/>
  <c r="J54" i="1"/>
  <c r="J53" i="1"/>
  <c r="J52" i="1"/>
  <c r="J51" i="1"/>
  <c r="J5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A59" i="1" l="1"/>
  <c r="A58" i="1"/>
  <c r="A57" i="1"/>
  <c r="A56" i="1"/>
  <c r="A55" i="1"/>
  <c r="A54" i="1"/>
  <c r="A53" i="1"/>
  <c r="A52" i="1"/>
  <c r="A51" i="1"/>
  <c r="A50" i="1"/>
  <c r="A49" i="1"/>
  <c r="A48" i="1"/>
  <c r="A47" i="1"/>
  <c r="A46" i="1"/>
  <c r="A45" i="1"/>
  <c r="A44" i="1"/>
  <c r="A43" i="1"/>
  <c r="A42" i="1"/>
  <c r="A41" i="1"/>
  <c r="A40" i="1"/>
  <c r="A39" i="1"/>
  <c r="J37" i="1"/>
  <c r="L37" i="1" s="1"/>
  <c r="J36" i="1"/>
  <c r="L36" i="1" s="1"/>
  <c r="J35" i="1"/>
  <c r="L35" i="1" s="1"/>
  <c r="J34" i="1"/>
  <c r="L34" i="1" s="1"/>
  <c r="J33" i="1"/>
  <c r="L33" i="1" s="1"/>
  <c r="J32" i="1"/>
  <c r="L32" i="1" s="1"/>
  <c r="A38" i="1"/>
  <c r="A37" i="1"/>
  <c r="A36" i="1"/>
  <c r="A35" i="1"/>
  <c r="A34" i="1"/>
  <c r="A33" i="1"/>
  <c r="A32" i="1"/>
  <c r="L59" i="1"/>
  <c r="L58" i="1"/>
  <c r="L57" i="1"/>
  <c r="L56" i="1"/>
  <c r="L55" i="1"/>
  <c r="L54" i="1"/>
  <c r="L53" i="1"/>
  <c r="L52" i="1"/>
  <c r="L51" i="1"/>
  <c r="L50" i="1"/>
  <c r="J49" i="1"/>
  <c r="L49" i="1" s="1"/>
  <c r="J48" i="1"/>
  <c r="L48" i="1" s="1"/>
  <c r="J47" i="1"/>
  <c r="L47" i="1" s="1"/>
  <c r="J46" i="1"/>
  <c r="L46" i="1" s="1"/>
  <c r="J45" i="1"/>
  <c r="L45" i="1" s="1"/>
  <c r="J44" i="1"/>
  <c r="L44" i="1" s="1"/>
  <c r="J43" i="1"/>
  <c r="L43" i="1" s="1"/>
  <c r="J42" i="1"/>
  <c r="L42" i="1" s="1"/>
  <c r="J41" i="1"/>
  <c r="L41" i="1" s="1"/>
  <c r="J40" i="1"/>
  <c r="L40" i="1" s="1"/>
  <c r="J39" i="1"/>
  <c r="L39" i="1" s="1"/>
  <c r="J38" i="1"/>
  <c r="L38" i="1" s="1"/>
  <c r="J31" i="1"/>
  <c r="L31" i="1" s="1"/>
  <c r="J30" i="1"/>
  <c r="L30" i="1" s="1"/>
  <c r="J29" i="1"/>
  <c r="L29" i="1" s="1"/>
  <c r="J28" i="1"/>
  <c r="L28" i="1" s="1"/>
  <c r="J27" i="1"/>
  <c r="L27" i="1" s="1"/>
  <c r="J26" i="1"/>
  <c r="L26" i="1" s="1"/>
  <c r="J25" i="1"/>
  <c r="L25" i="1" s="1"/>
  <c r="J24" i="1"/>
  <c r="L24" i="1" s="1"/>
  <c r="J23" i="1"/>
  <c r="L23" i="1" s="1"/>
  <c r="J22" i="1"/>
  <c r="L22" i="1" s="1"/>
  <c r="J21" i="1"/>
  <c r="L21" i="1" s="1"/>
  <c r="J20" i="1"/>
  <c r="L20" i="1" s="1"/>
  <c r="J19" i="1"/>
  <c r="L19" i="1" s="1"/>
  <c r="J18" i="1"/>
  <c r="L18" i="1" s="1"/>
  <c r="J17" i="1"/>
  <c r="L17" i="1" s="1"/>
  <c r="J16" i="1"/>
  <c r="L16" i="1" s="1"/>
  <c r="A31" i="1" l="1"/>
  <c r="A30" i="1"/>
  <c r="A29" i="1"/>
  <c r="A28" i="1"/>
  <c r="A27" i="1"/>
  <c r="A26" i="1"/>
  <c r="A25" i="1"/>
  <c r="A24" i="1"/>
  <c r="A23" i="1"/>
  <c r="A22" i="1"/>
  <c r="A21" i="1"/>
  <c r="A20" i="1"/>
  <c r="A19" i="1"/>
  <c r="A18" i="1"/>
  <c r="A17" i="1"/>
  <c r="A16" i="1"/>
  <c r="I3" i="6" l="1"/>
  <c r="J3" i="6" s="1"/>
  <c r="I11" i="6"/>
  <c r="J11" i="6" s="1"/>
  <c r="I19" i="6"/>
  <c r="J19" i="6" s="1"/>
  <c r="I25" i="6"/>
  <c r="J25" i="6" s="1"/>
  <c r="I33" i="6"/>
  <c r="J33" i="6" s="1"/>
  <c r="I41" i="6"/>
  <c r="J41" i="6" s="1"/>
  <c r="B29" i="6"/>
  <c r="I4" i="6"/>
  <c r="J4" i="6" s="1"/>
  <c r="I12" i="6"/>
  <c r="J12" i="6" s="1"/>
  <c r="I20" i="6"/>
  <c r="J20" i="6" s="1"/>
  <c r="I26" i="6"/>
  <c r="J26" i="6" s="1"/>
  <c r="I34" i="6"/>
  <c r="J34" i="6" s="1"/>
  <c r="I42" i="6"/>
  <c r="J42" i="6" s="1"/>
  <c r="B36" i="6"/>
  <c r="I5" i="6"/>
  <c r="J5" i="6" s="1"/>
  <c r="I13" i="6"/>
  <c r="J13" i="6" s="1"/>
  <c r="I27" i="6"/>
  <c r="J27" i="6" s="1"/>
  <c r="I35" i="6"/>
  <c r="J35" i="6" s="1"/>
  <c r="I43" i="6"/>
  <c r="J43" i="6" s="1"/>
  <c r="B2" i="6"/>
  <c r="I6" i="6"/>
  <c r="J6" i="6" s="1"/>
  <c r="I14" i="6"/>
  <c r="J14" i="6" s="1"/>
  <c r="I21" i="6"/>
  <c r="J21" i="6" s="1"/>
  <c r="I28" i="6"/>
  <c r="J28" i="6" s="1"/>
  <c r="I36" i="6"/>
  <c r="J36" i="6" s="1"/>
  <c r="I44" i="6"/>
  <c r="J44" i="6" s="1"/>
  <c r="I7" i="6"/>
  <c r="J7" i="6" s="1"/>
  <c r="I15" i="6"/>
  <c r="J15" i="6" s="1"/>
  <c r="I22" i="6"/>
  <c r="J22" i="6" s="1"/>
  <c r="I29" i="6"/>
  <c r="J29" i="6" s="1"/>
  <c r="I37" i="6"/>
  <c r="J37" i="6" s="1"/>
  <c r="I45" i="6"/>
  <c r="J45" i="6" s="1"/>
  <c r="I8" i="6"/>
  <c r="J8" i="6" s="1"/>
  <c r="I16" i="6"/>
  <c r="J16" i="6" s="1"/>
  <c r="I23" i="6"/>
  <c r="J23" i="6" s="1"/>
  <c r="I30" i="6"/>
  <c r="J30" i="6" s="1"/>
  <c r="I38" i="6"/>
  <c r="J38" i="6" s="1"/>
  <c r="I2" i="6"/>
  <c r="J2" i="6" s="1"/>
  <c r="I9" i="6"/>
  <c r="J9" i="6" s="1"/>
  <c r="I17" i="6"/>
  <c r="J17" i="6" s="1"/>
  <c r="I31" i="6"/>
  <c r="J31" i="6" s="1"/>
  <c r="I39" i="6"/>
  <c r="J39" i="6" s="1"/>
  <c r="B14" i="6"/>
  <c r="I10" i="6"/>
  <c r="J10" i="6" s="1"/>
  <c r="I18" i="6"/>
  <c r="J18" i="6" s="1"/>
  <c r="I24" i="6"/>
  <c r="J24" i="6" s="1"/>
  <c r="I32" i="6"/>
  <c r="J32" i="6" s="1"/>
  <c r="I40" i="6"/>
  <c r="J40" i="6" s="1"/>
  <c r="B24" i="6"/>
  <c r="G41" i="6"/>
  <c r="G40" i="6"/>
  <c r="G32" i="6"/>
  <c r="G24" i="6"/>
  <c r="G18" i="6"/>
  <c r="G10" i="6"/>
  <c r="G2" i="6"/>
  <c r="F10" i="6"/>
  <c r="F18" i="6"/>
  <c r="F24" i="6"/>
  <c r="F32" i="6"/>
  <c r="F40" i="6"/>
  <c r="G29" i="6"/>
  <c r="G7" i="6"/>
  <c r="F27" i="6"/>
  <c r="G28" i="6"/>
  <c r="G14" i="6"/>
  <c r="F14" i="6"/>
  <c r="F36" i="6"/>
  <c r="G27" i="6"/>
  <c r="G5" i="6"/>
  <c r="F22" i="6"/>
  <c r="F45" i="6"/>
  <c r="G34" i="6"/>
  <c r="G20" i="6"/>
  <c r="F8" i="6"/>
  <c r="F30" i="6"/>
  <c r="G33" i="6"/>
  <c r="G11" i="6"/>
  <c r="F17" i="6"/>
  <c r="G39" i="6"/>
  <c r="G31" i="6"/>
  <c r="G17" i="6"/>
  <c r="G9" i="6"/>
  <c r="F3" i="6"/>
  <c r="F11" i="6"/>
  <c r="F19" i="6"/>
  <c r="F25" i="6"/>
  <c r="F33" i="6"/>
  <c r="F41" i="6"/>
  <c r="G37" i="6"/>
  <c r="G15" i="6"/>
  <c r="F5" i="6"/>
  <c r="F43" i="6"/>
  <c r="G44" i="6"/>
  <c r="G21" i="6"/>
  <c r="F6" i="6"/>
  <c r="F28" i="6"/>
  <c r="G35" i="6"/>
  <c r="G13" i="6"/>
  <c r="F7" i="6"/>
  <c r="F29" i="6"/>
  <c r="G26" i="6"/>
  <c r="G4" i="6"/>
  <c r="F23" i="6"/>
  <c r="F2" i="6"/>
  <c r="G19" i="6"/>
  <c r="F9" i="6"/>
  <c r="F39" i="6"/>
  <c r="G38" i="6"/>
  <c r="G30" i="6"/>
  <c r="G23" i="6"/>
  <c r="G16" i="6"/>
  <c r="G8" i="6"/>
  <c r="F4" i="6"/>
  <c r="F12" i="6"/>
  <c r="F20" i="6"/>
  <c r="F26" i="6"/>
  <c r="F34" i="6"/>
  <c r="F42" i="6"/>
  <c r="G45" i="6"/>
  <c r="G22" i="6"/>
  <c r="F13" i="6"/>
  <c r="F35" i="6"/>
  <c r="G36" i="6"/>
  <c r="G6" i="6"/>
  <c r="F21" i="6"/>
  <c r="F44" i="6"/>
  <c r="G43" i="6"/>
  <c r="F15" i="6"/>
  <c r="F37" i="6"/>
  <c r="G42" i="6"/>
  <c r="G12" i="6"/>
  <c r="F16" i="6"/>
  <c r="F38" i="6"/>
  <c r="G25" i="6"/>
  <c r="G3" i="6"/>
  <c r="F31" i="6"/>
  <c r="K24" i="6" l="1"/>
  <c r="G30" i="5" s="1"/>
  <c r="K29" i="6"/>
  <c r="K36" i="6"/>
  <c r="K14" i="6"/>
  <c r="K9" i="6"/>
  <c r="K6" i="6"/>
  <c r="K35" i="6"/>
  <c r="K19" i="6"/>
  <c r="K23" i="6"/>
  <c r="K40" i="6"/>
  <c r="K10" i="6"/>
  <c r="K7" i="6"/>
  <c r="K44" i="6"/>
  <c r="K20" i="6"/>
  <c r="K38" i="6"/>
  <c r="K3" i="6"/>
  <c r="K8" i="6"/>
  <c r="K30" i="6"/>
  <c r="K37" i="6"/>
  <c r="K25" i="6"/>
  <c r="K45" i="6"/>
  <c r="K11" i="6"/>
  <c r="K4" i="6"/>
  <c r="K12" i="6"/>
  <c r="K32" i="6"/>
  <c r="K41" i="6"/>
  <c r="K17" i="6"/>
  <c r="K15" i="6"/>
  <c r="K28" i="6"/>
  <c r="K39" i="6"/>
  <c r="K27" i="6"/>
  <c r="K5" i="6"/>
  <c r="K33" i="6"/>
  <c r="K42" i="6"/>
  <c r="K22" i="6"/>
  <c r="K2" i="6"/>
  <c r="K31" i="6"/>
  <c r="K13" i="6"/>
  <c r="K34" i="6"/>
  <c r="K43" i="6"/>
  <c r="K18" i="6"/>
  <c r="K16" i="6"/>
  <c r="K26" i="6"/>
  <c r="K21" i="6"/>
  <c r="H37" i="6"/>
  <c r="H17" i="6"/>
  <c r="H30" i="6"/>
  <c r="H2" i="6"/>
  <c r="H10" i="6"/>
  <c r="H44" i="6"/>
  <c r="H6" i="6"/>
  <c r="H7" i="6"/>
  <c r="H42" i="6"/>
  <c r="H36" i="6"/>
  <c r="H11" i="6"/>
  <c r="H5" i="6"/>
  <c r="H29" i="6"/>
  <c r="H18" i="6"/>
  <c r="H12" i="6"/>
  <c r="H38" i="6"/>
  <c r="H13" i="6"/>
  <c r="H33" i="6"/>
  <c r="H27" i="6"/>
  <c r="H24" i="6"/>
  <c r="H3" i="6"/>
  <c r="H8" i="6"/>
  <c r="H26" i="6"/>
  <c r="H39" i="6"/>
  <c r="H19" i="6"/>
  <c r="H35" i="6"/>
  <c r="H15" i="6"/>
  <c r="H9" i="6"/>
  <c r="H32" i="6"/>
  <c r="H40" i="6"/>
  <c r="H22" i="6"/>
  <c r="H25" i="6"/>
  <c r="H45" i="6"/>
  <c r="H20" i="6"/>
  <c r="H14" i="6"/>
  <c r="H43" i="6"/>
  <c r="H16" i="6"/>
  <c r="H23" i="6"/>
  <c r="H4" i="6"/>
  <c r="H21" i="6"/>
  <c r="H31" i="6"/>
  <c r="H34" i="6"/>
  <c r="H28" i="6"/>
  <c r="H41" i="6"/>
  <c r="E30" i="5" l="1"/>
  <c r="E26" i="5"/>
  <c r="G26" i="5"/>
  <c r="E28" i="5"/>
  <c r="G28" i="5"/>
  <c r="G34" i="5"/>
  <c r="E34" i="5"/>
  <c r="E32" i="5"/>
  <c r="G32" i="5"/>
  <c r="F56" i="3"/>
  <c r="F48" i="3"/>
  <c r="F40" i="3"/>
  <c r="F32" i="3"/>
  <c r="F24" i="3"/>
  <c r="F55" i="3"/>
  <c r="F47" i="3"/>
  <c r="F39" i="3"/>
  <c r="F31" i="3"/>
  <c r="F23" i="3"/>
  <c r="F34" i="3"/>
  <c r="F62" i="3"/>
  <c r="F54" i="3"/>
  <c r="F46" i="3"/>
  <c r="F38" i="3"/>
  <c r="F30" i="3"/>
  <c r="F22" i="3"/>
  <c r="F53" i="3"/>
  <c r="F45" i="3"/>
  <c r="F37" i="3"/>
  <c r="F29" i="3"/>
  <c r="F57" i="3"/>
  <c r="F33" i="3"/>
  <c r="F61" i="3"/>
  <c r="F21" i="3"/>
  <c r="F58" i="3"/>
  <c r="F50" i="3"/>
  <c r="F26" i="3"/>
  <c r="F60" i="3"/>
  <c r="F52" i="3"/>
  <c r="F44" i="3"/>
  <c r="F36" i="3"/>
  <c r="F28" i="3"/>
  <c r="F20" i="3"/>
  <c r="F25" i="3"/>
  <c r="F59" i="3"/>
  <c r="F51" i="3"/>
  <c r="F43" i="3"/>
  <c r="F35" i="3"/>
  <c r="F27" i="3"/>
  <c r="F19" i="3"/>
  <c r="F42" i="3"/>
  <c r="F49" i="3"/>
  <c r="F41" i="3"/>
  <c r="E56" i="3"/>
  <c r="E40" i="3"/>
  <c r="E55" i="3"/>
  <c r="E47" i="3"/>
  <c r="E39" i="3"/>
  <c r="E31" i="3"/>
  <c r="E23" i="3"/>
  <c r="E51" i="3"/>
  <c r="E27" i="3"/>
  <c r="E58" i="3"/>
  <c r="E26" i="3"/>
  <c r="E57" i="3"/>
  <c r="E25" i="3"/>
  <c r="E24" i="3"/>
  <c r="E62" i="3"/>
  <c r="E54" i="3"/>
  <c r="E46" i="3"/>
  <c r="E38" i="3"/>
  <c r="E30" i="3"/>
  <c r="E22" i="3"/>
  <c r="E60" i="3"/>
  <c r="E20" i="3"/>
  <c r="E43" i="3"/>
  <c r="E50" i="3"/>
  <c r="E34" i="3"/>
  <c r="E49" i="3"/>
  <c r="E48" i="3"/>
  <c r="E61" i="3"/>
  <c r="E53" i="3"/>
  <c r="E45" i="3"/>
  <c r="E37" i="3"/>
  <c r="E29" i="3"/>
  <c r="E21" i="3"/>
  <c r="E52" i="3"/>
  <c r="E44" i="3"/>
  <c r="E36" i="3"/>
  <c r="E28" i="3"/>
  <c r="E59" i="3"/>
  <c r="E35" i="3"/>
  <c r="E19" i="3"/>
  <c r="E42" i="3"/>
  <c r="E41" i="3"/>
  <c r="E33" i="3"/>
  <c r="E32" i="3"/>
  <c r="I61" i="3" l="1"/>
  <c r="G61" i="3"/>
  <c r="I59" i="3"/>
  <c r="G59" i="3"/>
  <c r="I45" i="3"/>
  <c r="G45" i="3"/>
  <c r="G20" i="3"/>
  <c r="I20" i="3"/>
  <c r="G24" i="3"/>
  <c r="I24" i="3"/>
  <c r="I31" i="3"/>
  <c r="G31" i="3"/>
  <c r="I32" i="3"/>
  <c r="G32" i="3"/>
  <c r="G28" i="3"/>
  <c r="I28" i="3"/>
  <c r="I53" i="3"/>
  <c r="G53" i="3"/>
  <c r="I60" i="3"/>
  <c r="G60" i="3"/>
  <c r="G25" i="3"/>
  <c r="I25" i="3"/>
  <c r="I39" i="3"/>
  <c r="G39" i="3"/>
  <c r="G22" i="3"/>
  <c r="I22" i="3"/>
  <c r="I57" i="3"/>
  <c r="G57" i="3"/>
  <c r="I47" i="3"/>
  <c r="G47" i="3"/>
  <c r="I33" i="3"/>
  <c r="G33" i="3"/>
  <c r="I44" i="3"/>
  <c r="G44" i="3"/>
  <c r="I48" i="3"/>
  <c r="G48" i="3"/>
  <c r="I30" i="3"/>
  <c r="G30" i="3"/>
  <c r="G26" i="3"/>
  <c r="I26" i="3"/>
  <c r="I55" i="3"/>
  <c r="G55" i="3"/>
  <c r="I41" i="3"/>
  <c r="G41" i="3"/>
  <c r="I52" i="3"/>
  <c r="G52" i="3"/>
  <c r="I49" i="3"/>
  <c r="G49" i="3"/>
  <c r="I38" i="3"/>
  <c r="G38" i="3"/>
  <c r="I58" i="3"/>
  <c r="G58" i="3"/>
  <c r="I42" i="3"/>
  <c r="G42" i="3"/>
  <c r="G21" i="3"/>
  <c r="I21" i="3"/>
  <c r="I34" i="3"/>
  <c r="G34" i="3"/>
  <c r="I46" i="3"/>
  <c r="G46" i="3"/>
  <c r="I27" i="3"/>
  <c r="G27" i="3"/>
  <c r="I40" i="3"/>
  <c r="G40" i="3"/>
  <c r="I36" i="3"/>
  <c r="G36" i="3"/>
  <c r="I19" i="3"/>
  <c r="G19" i="3"/>
  <c r="G29" i="3"/>
  <c r="I29" i="3"/>
  <c r="I50" i="3"/>
  <c r="G50" i="3"/>
  <c r="I54" i="3"/>
  <c r="G54" i="3"/>
  <c r="I51" i="3"/>
  <c r="G51" i="3"/>
  <c r="I56" i="3"/>
  <c r="G56" i="3"/>
  <c r="I35" i="3"/>
  <c r="G35" i="3"/>
  <c r="I37" i="3"/>
  <c r="G37" i="3"/>
  <c r="I43" i="3"/>
  <c r="G43" i="3"/>
  <c r="I62" i="3"/>
  <c r="G62" i="3"/>
  <c r="G23" i="3"/>
  <c r="I23" i="3"/>
  <c r="J41" i="3" l="1"/>
  <c r="J53" i="3"/>
  <c r="J46" i="3"/>
  <c r="J31" i="3"/>
  <c r="J19" i="3"/>
  <c r="M8" i="5" l="1"/>
</calcChain>
</file>

<file path=xl/sharedStrings.xml><?xml version="1.0" encoding="utf-8"?>
<sst xmlns="http://schemas.openxmlformats.org/spreadsheetml/2006/main" count="514" uniqueCount="244">
  <si>
    <t>EVALUACIÓN INDEPENDIENTE SISTEMA DE CONTROL INTERNO
Entidades Pequeñas
(instrucciones para su diligenciamiento)</t>
  </si>
  <si>
    <t>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Esta estructura requiere de un análisis articulado frente al desarrollo de las políticas de gestión y desempeño contenidas en el modelo y su efectividad en relación con la estructura de control, este útlimo, aspecto esecial para garantizar el buen manejo de los recursos, que las metas y objetivos se cumplan y se mejore la prestación del servicio a los usuarios, ejes fundamentales para la generación de valor público.
Teniendo en cuenta lo anterior y dada la necesidad de dar cumplimiento a la dispuesto en el articulo 156 del Decreto 2106 de 2019, el presente formatobusca que las entidades cuenten con una herramienta para evaluar sus Sistemas de Control Interno de manera integral y permitirle al Jefe de Control Interno o quien haga sus veces llevar a cabo el informe de evaluación independiente sobre el mismo para su publicación cada seis (6) meses, en el sitio web de la entidad. La estructura propuesta es diferencial para aquellas entidades de municipios de 6a categoría (Personerías y Concejos Municipales) que son entidades con 1 y hasta 5 servidores en sus plantas de personal. Estas entidades deben tener en cuenta que de acuerdo con el parágrafo del artículo ARTÍCULO 2.2.22.2.1. del Decreto 1499 de 2017, las políticas de gestión y desempeño contenidas en el Modelo Integrado de Planeación y Gestión MIPG, deben ser aplicadas acorde con las normas que las regulan, por lo que deben analizar dichas políticas e implementarlas en armonía con el MECI.</t>
  </si>
  <si>
    <t>Orientaciones Generales</t>
  </si>
  <si>
    <r>
      <t xml:space="preserve">El archivo contiene las siguientes hojas:
 -  1 </t>
    </r>
    <r>
      <rPr>
        <b/>
        <sz val="11"/>
        <rFont val="Arial Narrow"/>
        <family val="2"/>
      </rPr>
      <t xml:space="preserve">Pestaña que desarrolla la estructura para evaluar el estado del Sistema de Control Interno: </t>
    </r>
    <r>
      <rPr>
        <sz val="11"/>
        <rFont val="Arial Narrow"/>
        <family val="2"/>
      </rPr>
      <t xml:space="preserve">Se desagrega en </t>
    </r>
    <r>
      <rPr>
        <sz val="10"/>
        <rFont val="Arial Narrow"/>
        <family val="2"/>
      </rPr>
      <t>"Ambiente de Control", "Evaluación de riesgos", "Actividades de control", "Información y Comunicación", y " Actividades de Monitoreo", componentes actuales del Modelo Estándar de Control Interno MECI. La estructura es la siguiente para el diligenciamiento:</t>
    </r>
  </si>
  <si>
    <t>Columna</t>
  </si>
  <si>
    <t>Descripción</t>
  </si>
  <si>
    <t>Componente del MECI asociado</t>
  </si>
  <si>
    <t>Esta columna define los componentes del MECI.</t>
  </si>
  <si>
    <t>Lineamiento General por Componente</t>
  </si>
  <si>
    <t>En esta columna establece el lineamientos general para cada uno de los componentes del MECI</t>
  </si>
  <si>
    <t>Requerimiento Asociado al Componente</t>
  </si>
  <si>
    <t>Se muestran una serie de preguntas con 3 opciones de respuesta así:
1. SI
2.NO
3. EN PROCESO</t>
  </si>
  <si>
    <t>Evidencia de Seguimiento al Control</t>
  </si>
  <si>
    <t>Establezca actividades adelantadas de aplicación del documento o elemento antes identificado (esto cuando se responde SI o bien EN PROCESO)</t>
  </si>
  <si>
    <r>
      <t xml:space="preserve"> -</t>
    </r>
    <r>
      <rPr>
        <sz val="11"/>
        <rFont val="Arial Narrow"/>
        <family val="2"/>
      </rPr>
      <t xml:space="preserve"> </t>
    </r>
    <r>
      <rPr>
        <b/>
        <sz val="11"/>
        <rFont val="Arial Narrow"/>
        <family val="2"/>
      </rPr>
      <t>Análisis de Resultados:</t>
    </r>
    <r>
      <rPr>
        <sz val="10"/>
        <rFont val="Arial Narrow"/>
        <family val="2"/>
      </rPr>
      <t xml:space="preserve"> Esta hoja permite consolidar los resultados para cada componente evaluado.</t>
    </r>
  </si>
  <si>
    <t xml:space="preserve">Clasificación </t>
  </si>
  <si>
    <t>Observaciones del Control</t>
  </si>
  <si>
    <t>Mantenimiento del Control</t>
  </si>
  <si>
    <t>Existe requerimiento pero se requiere actividades  dirigidas a su mantenimiento dentro del marco de las lineas de defensa.</t>
  </si>
  <si>
    <t>Oportunidad de Mejora</t>
  </si>
  <si>
    <t>Se encuentra en proceso, pero requiere continuar con acciones dirigidas a contar con dicho aspecto de control</t>
  </si>
  <si>
    <t xml:space="preserve">Deficiencia del Control 
</t>
  </si>
  <si>
    <t>No se encuentra el aspecto  por lo tanto la entidad debera generar acciones dirigidas a que se cumpla con el requerimiento .</t>
  </si>
  <si>
    <r>
      <t xml:space="preserve"> -</t>
    </r>
    <r>
      <rPr>
        <sz val="11"/>
        <rFont val="Arial Narrow"/>
        <family val="2"/>
      </rPr>
      <t xml:space="preserve"> </t>
    </r>
    <r>
      <rPr>
        <b/>
        <sz val="11"/>
        <rFont val="Arial Narrow"/>
        <family val="2"/>
      </rPr>
      <t>Conclusiones:</t>
    </r>
    <r>
      <rPr>
        <sz val="10"/>
        <rFont val="Arial Narrow"/>
        <family val="2"/>
      </rPr>
      <t xml:space="preserve"> Esta hoja permite establecer el estado del Sistema de Control Interno evaluado, información a partir de la cual se definen las acciones de mejora correspondientes. Esta hoja será el informe para publicación en página web, o bien para ubicar en un lugar visible en la sede de la entidad (esto para aquellas que no cuentan con conectividad o página web en operación).</t>
    </r>
  </si>
  <si>
    <t>MEDICION ESTADO DEL SISTEMA DE CONTROL INTERNO EN LA ENTIDAD</t>
  </si>
  <si>
    <t xml:space="preserve">No. </t>
  </si>
  <si>
    <t>Literal</t>
  </si>
  <si>
    <t>Requerimiento asociado al componente</t>
  </si>
  <si>
    <t>Seguimiento al control (Si, No, En proceso)</t>
  </si>
  <si>
    <t>Evidencia de seguimiento al control
(Establezca actividades adelantadas de aplicación del documento o elemento antes identificado, esto cuando se responde SI o bien EN PROCESO</t>
  </si>
  <si>
    <t>Evaluación</t>
  </si>
  <si>
    <t>1</t>
  </si>
  <si>
    <t>AMBIENTE DE CONTROL</t>
  </si>
  <si>
    <t>El ambiente de control institucional está integrado por todas esas condiciones mínimas que debe garantizar cualquier entidad pública para el ejercicio del control interno. Para el caso de su entidad indique si se cuenta con:</t>
  </si>
  <si>
    <t>a</t>
  </si>
  <si>
    <t>Documento interno o adopción del MECI actualizado</t>
  </si>
  <si>
    <t>No</t>
  </si>
  <si>
    <t>No se evidenció un documento de adopción interna del Modelo Estándar de Control Interno en su última actualización</t>
  </si>
  <si>
    <t>b</t>
  </si>
  <si>
    <t>Un documento tal como un código de ética, integridad u otro que formalice los estándares de conducta, los principios institucionales o los valores del servicio público</t>
  </si>
  <si>
    <t>Si</t>
  </si>
  <si>
    <t>La Entidad adoptó el Código de Integridad a través de la resolución número 013 de 2018, "Por medio de la cual se deroga la resolución número 011 de octubre 28 de 2010 y se adopta el código de integridad para la Empresa AMABLE E.I.C.E. y se fijan otras disposiciones"</t>
  </si>
  <si>
    <t>c</t>
  </si>
  <si>
    <t>Planes, programas y proyectos de acuerdo con las normas que rigen y atendiendo con su propósito fundamental institucional (misión)</t>
  </si>
  <si>
    <t>d</t>
  </si>
  <si>
    <t>Una estructura organizacional formalizada (organigrama)</t>
  </si>
  <si>
    <t xml:space="preserve">La junta Directiva de la Entidad aprobó la estructura orgánica de Amable, organigrama que puede ser consultado a través de la siguiente dirección web http://www.armeniaamable.gov.co/amable/organigrama </t>
  </si>
  <si>
    <t>e</t>
  </si>
  <si>
    <t>Un manual de funciones que describa los empleos de la entidad</t>
  </si>
  <si>
    <t>Actualmente Amable cuenta únicamente con dos cargos, gerente y asesor de control interno, no obstante, los estatutos de esta Empresa contiene la información referente al manual de funciones de estos cargos.</t>
  </si>
  <si>
    <t>f</t>
  </si>
  <si>
    <t>La documentación de sus procesos y procedimientos o bien una lista de actividades principales que permitan conocer el estado de su gestión</t>
  </si>
  <si>
    <t>En proceso</t>
  </si>
  <si>
    <t>g</t>
  </si>
  <si>
    <t>Vinculación de los servidores públicos de acuerdo con el marco normativo que les rige (carrera administrativa, libre nombramiento y remoción, entre otros)</t>
  </si>
  <si>
    <t>h</t>
  </si>
  <si>
    <t>Procesos de inducción, capacitación y bienestar social para sus servidores públicos, de manera directa o en asociación con otras entidades municipales</t>
  </si>
  <si>
    <t>i</t>
  </si>
  <si>
    <t>Evaluación a los servidores públicos de acuerdo con el marco normativo que le rige</t>
  </si>
  <si>
    <t>j</t>
  </si>
  <si>
    <t>Procesos de desvinculación de servidores de acuerdo con lo previsto en la Constitución Política y las leyes</t>
  </si>
  <si>
    <t>No se evidenció que la Entidad realice proceso de desvinculación asistida a los servidores públicos.</t>
  </si>
  <si>
    <t>k</t>
  </si>
  <si>
    <t>Mecanismos de rendición de cuentas a la ciudadanía</t>
  </si>
  <si>
    <t>Amable participa de manera anual y de forma articulada con la administración central, en la audiencia pública de rendición de cuentas donde se presenta información de interés para el público en general. Además, se evidenció que realiza jornadas de rendición de cuentas con la ciudadanía sobre los proyectos en ejecución de manera periódica, información que puede ser consultada en la sección de noticias de la página web institucional: http://www.armeniaamable.gov.co/sala-de-prensa/noticias-y-actualidad</t>
  </si>
  <si>
    <t>l</t>
  </si>
  <si>
    <t>Presentación oportuna de sus informes de gestión a las autoridades competentes</t>
  </si>
  <si>
    <t>No se evidenció en el período informado que la Entidad haya presentado de manera inoportuna, incompleta o con baja calidad los informes de gestión ante las autoridades competentes.</t>
  </si>
  <si>
    <t>2</t>
  </si>
  <si>
    <t>EVALUACION DEL RIESGO</t>
  </si>
  <si>
    <t>Toda entidad debe identificar, evaluar y gestionar eventos potenciales, tanto internos como externos, que puedan afectar el logro de los objetivos institucionales. Para el caso de su entidad indique si se cuenta con:</t>
  </si>
  <si>
    <t>Identificación de cambios en su entorno que pueden generar consecuencias negativas en su gestión</t>
  </si>
  <si>
    <t>Identificación de aquellos problemas o aspectos que pueden afectar el cumplimiento de los planes de la entidad y en general su gestión institucional (riesgos)</t>
  </si>
  <si>
    <t>Identificación  de los riesgos relacionados con posibles actos de corrupción en el ejercicio de sus funciones</t>
  </si>
  <si>
    <t>Si su capacidad e infraestructura lo permite, identificación de riesgos asociados a las tecnologías de la información y las comunicaciones</t>
  </si>
  <si>
    <t>3</t>
  </si>
  <si>
    <t>Los líderes de los programas, proyectos, o procesos de la entidad  junto con sus equipos de trabajo:</t>
  </si>
  <si>
    <t>Hacen seguimiento a los problemas (riesgos)  que pueden afectar el cumplimiento de sus procesos, programas o proyectos a cargo</t>
  </si>
  <si>
    <t>Amable realiza de manera periódica, a través de contratistas con obligaciones ligadas a planeación institucional y en compañía de la asesora de control interno, el seguimiento a las matrices de riesgo. Dichos documentos de seguimiento se evidencian a través de actas localizadas en el archivo de gestión.</t>
  </si>
  <si>
    <t>Informan de manera periódica a quien corresponda sobre el desempeño de las actividades de gestión de riesgos</t>
  </si>
  <si>
    <t>Identifican deficiencias en las maneras de  controlar los riesgos o problemas en sus procesos, programas o proyectos, y propone los ajustes necesarios</t>
  </si>
  <si>
    <t>4</t>
  </si>
  <si>
    <t>Para el manejo de los problemas que afectan el cumplimiento de las metas u objetivos institucionales (riesgos), el jefe de control interno o quien haga sus veces, ha podido evidenciar si en la entidad:</t>
  </si>
  <si>
    <t>Se definen espacios de reunión para conocerlos y proponer acciones para su solución</t>
  </si>
  <si>
    <t>Cada líder del equipo autónomamente toma las acciones para solucionarlos.</t>
  </si>
  <si>
    <t>Cada proceso cuenta con contratistas con obligaciones frente a la ejecución de las actividades y procesos internos de la Entidad, quienes de manera conjunta y con la dirección de la gerencia, diseñan acciones para el mejoramiento.</t>
  </si>
  <si>
    <t>Solamente hasta que un organismo de control actúa se definen acciones de mejora.</t>
  </si>
  <si>
    <t>5</t>
  </si>
  <si>
    <t>ACTIVIDADES DE CONTROL</t>
  </si>
  <si>
    <t>Una vez identificados los problemas que afectan el cumplimiento de los planes de la entidad o su gestión institucional, la entidad debe diseñar los controles o mecanismos para darles tratamiento. Para el caso de su entidad indique si se cuenta con:</t>
  </si>
  <si>
    <t>La definición de acciones o actividades para para dar tratamiento a los problemas identificados (mitigación de riesgos), incluyendo aquellos asociados a posibles actos de corrupción</t>
  </si>
  <si>
    <t>Mecanismos de verificación de si se están o no mitigando los riesgos, o en su defecto, elaboración de planes de contingencia para subsanar sus consecuencias</t>
  </si>
  <si>
    <t>Planes, acciones o estrategias que permitan subsanar las consecuencias de la materialización de los riesgos, cuando se presentan</t>
  </si>
  <si>
    <t>Un documento que consolide  los riesgos  y el tratamiento que se les da, incluyendo aquellos que conllevan posibles actos de corrupción y si la capacidad e infraestructura lo permite, los asociados con las tecnologías de la información y las comunicaciones</t>
  </si>
  <si>
    <t>Amable cuenta con matrices de riesgo por proceso interno, donde se identificaron posibles eventos de riesgo para la gestión y la corrupción, además,  cuenta con una matriz de riesgos relacionada de manera directa a la gestión del proyecto Sistema Estratégico de Transporte Público en la ciudad de Armenia. En estos documentos se establecen los riesgos y los controles correspondientes para su tratamiento.</t>
  </si>
  <si>
    <t>Un plan anticorrupción y de servicio al ciudadano con los temas que le aplican, publicado en algún medio para conocimiento de la ciudadanía</t>
  </si>
  <si>
    <t>6</t>
  </si>
  <si>
    <t>INFORMACION Y COMUNICACIÓN</t>
  </si>
  <si>
    <t>Las entidades deben procurar, de acuerdo con sus propias capacidades internas, que la información y la comunicación que requiere para su gestión y  control interno fluya de manera clara.  Acorde con lo anterior, indique si se cuenta con:</t>
  </si>
  <si>
    <t>Responsables de la información institucional</t>
  </si>
  <si>
    <t>Se evidenció que la Entidad, debido a su estructura orgánica reducida, cuenta con un responsable que es el Gerente de la Entidad, quien a su vez se apoya a través de la ejecución de actividades a través de contratistas, con obligaciones previamente definidas.</t>
  </si>
  <si>
    <t>Canales de comunicación con los ciudadanos</t>
  </si>
  <si>
    <t>La Entidad ha dispuesto de canales de comunicación con los ciudadanos como lo son: la página web, a través de su chat virtual, las redes sociales de Amable, correo electrónico institucional, línea telefónica, usada con mayor frecuencia antes de la contingencia por la declarada pandemia, además, por cada proyecto se han establecido puntos físicos de información para la ciudadanía e interesados.</t>
  </si>
  <si>
    <t>Canales de comunicación o mecanismos de reporte de información a otros organismos gubernamentales o de control</t>
  </si>
  <si>
    <t>La Entidad cuenta con los canales oficiales para comunicarse con los organismos gubernamentales y entes externos de control, debido a la declarada pandemia en el país, se han fortalecido los canales virtuales para la comunicación con otras entidades.</t>
  </si>
  <si>
    <t xml:space="preserve">Lineamientos para dar tratamiento a la información de carácter reservado </t>
  </si>
  <si>
    <t>No se evidenció la existencia de políticas, procedimientos u otros documentos que contengan lineamientos frente al tratamiento de la información con carácter reservado.</t>
  </si>
  <si>
    <t>Identificación de información que produce en el marco de su gestión (Para los ciudadanos, organismos de control, organismos gubernamentales, entre otros)</t>
  </si>
  <si>
    <t xml:space="preserve">La Entidad, a pesar de producir de manera constante información en el marco de su gestión, no cuenta con un inventario o repositorio de estos productos. </t>
  </si>
  <si>
    <t>Identificación de información necesaria para la operación de la entidad (normograma, presupuesto, talento humano, infraestructura física y tecnológica)</t>
  </si>
  <si>
    <t>La Entidad conoce sobre la existencia y necesidad de información para la normal operación, sin embargo, no se evidenció que esté documentada en algún aparte, además, de la información documentada con la que se cuenta actualmente.</t>
  </si>
  <si>
    <t>Si su capacidad e infraestructura lo permite, tecnologías de la información y las comunicaciones que soporten estos procesos</t>
  </si>
  <si>
    <t>La Entidad ha establecido canales de comunicación interna desde su capacidad y recursos disponibles, como lo son: correos electrónicos institucionales y herramientas de Google, Ventanilla Única Virtual, incluyendo intranet y nube web.</t>
  </si>
  <si>
    <t>7</t>
  </si>
  <si>
    <t>ACTIVIDADES DE MONITOREO</t>
  </si>
  <si>
    <t>Las entidades deben valorar: la eficiencia y eficacia de su gestión y la efectividad del control interno de la entidad pública con el propósito de detectar desviaciones y generar recomendaciones para la mejora. Para el caso de su entidad indique si se cuenta con:</t>
  </si>
  <si>
    <t>Mecanismos de evaluación de la gestión (cronogramas, indicadores, listas de chequeo u otros)</t>
  </si>
  <si>
    <t>Se evidenció que la Entidad cuenta con mecanismos de seguimiento como lo son cronogramas y listas de chequeo de proyectos relacionados a la implementación del Sistema Estratégico de Transporte Público SETP, no obstante, no se identificó la construcción de indicadores que midan la operación de la Entidad.</t>
  </si>
  <si>
    <t>Algún mecanismo para monitorear o supervisar el sistema de control interno institucional, ya sea por parte del representante legal, o del área de control interno (si la entidad cuenta con ella), o bien a través del Comité departamental o municipal de Auditoría.</t>
  </si>
  <si>
    <t>Medidas correctivas en caso de detectarse deficiencias en los ejercicios de evaluación, seguimiento o auditoría</t>
  </si>
  <si>
    <t>La Entidad diseña y suscribe planes de mejoramiento a partir de las observaciones realizadas en auditorías externas, Contraloría General de la República y Municipal de Armenia, Auditoría contratada por el Ministerio de Hacienda y Crédito Público. De igual manera, para las auditorías internas.</t>
  </si>
  <si>
    <t>Seguimiento a los planes de mejoramiento suscritos con instancias de control internas o externas</t>
  </si>
  <si>
    <t>La asesora de control interno de la Entidad realiza seguimiento periódico a los planes de mejoramiento internos y externos suscritos, según la frecuencia establecida en cada caso. Para los correspondientes a Contraloría Municipal de Armenia, se publica de manera trimestral el seguimiento en la página web institucional: http://www.armeniaamable.gov.co/transparencia-ley-1712/plan-de-mejoramiento, los demás seguimientos se encuentran custodiados en el archivo de gestión del área de control interno de la Entidad.</t>
  </si>
  <si>
    <t>8</t>
  </si>
  <si>
    <t>¿La entidad ha solicitado hacer parte del Comité Municipal de Auditoría, a efectos de contar con un escenario para compartir buenas prácticas en materia de control interno, así como analizar la viabilidad de contar como mínimo con un proceso auditor en la vigencia?</t>
  </si>
  <si>
    <t>La entidad participa en el  Comité Municipal de Auditoría?</t>
  </si>
  <si>
    <t>El municipio de Armenia conformó el Comité Municipal de Coordinación de Control Interno, en donde la asesora de control interno de Amable participa de manera periódica. Se evidencia esta actividad en las actas y listados de asistencia, presentes en el archivo de gestión del Departamento Administrativo de Control Interno de Armenia.</t>
  </si>
  <si>
    <t>9</t>
  </si>
  <si>
    <t>El jefe de control interno o quien haga sus veces, ha podido evidenciar si en la entidad el manejo que se ha hecho a los problemas que afectan el cumplimiento de sus metas y objetivos (riesgos) le ha permitido:</t>
  </si>
  <si>
    <t>Evitar que los problemas (riesgos) obstaculicen el cumplimiento de los objetivos.</t>
  </si>
  <si>
    <t>Se ha identificado que la Entidad, a través de la aplicación de controles, ha logrado evitar la materialización de algunos riesgos y minimizar la ocurrencia de problemas. No obstante, se recomienda realizar el proceso de revisión y actualización de estas herramientas de manera constante.</t>
  </si>
  <si>
    <t>Controlar los puntos críticos en los procesos.</t>
  </si>
  <si>
    <t>En los seguimientos y auditorías realizadas, se ha identificado que la entidad ha establecido controles en algunos puntos críticos en la Entidad, no obstante, se aclara que no se ha documentado claramente los puntos críticos para Amable.</t>
  </si>
  <si>
    <t>Diseñar acciones adecuadas para controlar los problemas que afectan el cumplimiento de las metas y objetivos institucionales (riesgos).</t>
  </si>
  <si>
    <t>Ejecutar las acciones de acuerdo a como se diseñaron previamente.</t>
  </si>
  <si>
    <t>No se gestionan los problemas que afectan el cumplimiento de las funciones y objetivos institucionales(riesgos).</t>
  </si>
  <si>
    <t>La Entidad sí ha gestionado la materialización de problemas institucionales, lo cual se ha evidenciado en la realización de auditorías internas e informes de seguimiento presentados a la gerencia de la Entidad.</t>
  </si>
  <si>
    <t>ANÁLISIS DE RESULTADOS PARA LA TOMA DE DECISIONES</t>
  </si>
  <si>
    <t>Se encuentra en proceso, pero requiere continuar con acciones dirigidas a contar con dicho aspecto de control.</t>
  </si>
  <si>
    <t>Se encuentra presente  y funcionando, pero requiere mejoras frente a su diseño, ya que  opera de manera efectiva</t>
  </si>
  <si>
    <t>No se encuentra el aspecto  por lo tanto la entidad debera generar acciones dirigidas a que se cumpla con el requerimiento.</t>
  </si>
  <si>
    <t>RESULTADOS</t>
  </si>
  <si>
    <t>FUENTE DEL ANALISIS</t>
  </si>
  <si>
    <t xml:space="preserve">Seguimiento al control </t>
  </si>
  <si>
    <t>OBSERVACIONES DEL CONTROL</t>
  </si>
  <si>
    <t>NIVEL DE CUMPLIMIENTO-ASPECTOS PARTICULARES POR COMPONENTE</t>
  </si>
  <si>
    <t>NIVEL DE CUMPLIMIENTO COMPONENTE</t>
  </si>
  <si>
    <t>componente</t>
  </si>
  <si>
    <t>Nombre de la Entidad:</t>
  </si>
  <si>
    <t>SISTEMA ESTRATÉGICO DE TRANSPORTE PÚBLICO AMABLE E.I.C.E.</t>
  </si>
  <si>
    <t>Periodo Evaluado:</t>
  </si>
  <si>
    <t>Estado del sistema de Control Interno de la entidad</t>
  </si>
  <si>
    <t>Conclusión general sobre la evaluación del Sistema de Control Interno</t>
  </si>
  <si>
    <t>¿Están todos los componentes operando juntos y de manera integrada? (Si / en proceso / No) (Justifique su respuesta):</t>
  </si>
  <si>
    <t>¿Es efectivo el sistema de control interno para los objetivos evaluados? (Si/No) (Justifique su respuesta):</t>
  </si>
  <si>
    <t>La entidad cuenta dentro de su Sistema de Control Interno, con una institucionalidad (Líneas de defensa)  que le permita la toma de decisiones frente al control (Si/No) (Justifique su respuesta):</t>
  </si>
  <si>
    <t>Componente</t>
  </si>
  <si>
    <t>¿se esta cumpliendo los requerimientos ?</t>
  </si>
  <si>
    <t>Nivel de Cumplimiento componente</t>
  </si>
  <si>
    <r>
      <rPr>
        <b/>
        <u/>
        <sz val="20"/>
        <color theme="0"/>
        <rFont val="Arial"/>
        <family val="2"/>
      </rPr>
      <t xml:space="preserve"> Estado actual:</t>
    </r>
    <r>
      <rPr>
        <b/>
        <sz val="20"/>
        <color theme="0"/>
        <rFont val="Arial"/>
        <family val="2"/>
      </rPr>
      <t xml:space="preserve"> Explicacion de las Debilidades y/o Fortalezas encontradas en cada componente</t>
    </r>
  </si>
  <si>
    <t>EVALUCION DEL RIESGO</t>
  </si>
  <si>
    <t>ACTIVIDADES DEL CONTROL</t>
  </si>
  <si>
    <t>La entidad cuenta con procedimientos documentados, manuales y guías, además, de planes estratégicos e institucionales que propenden por el desarrollo de las estrategias y directrices establecidas por la Gerencia de Amable para el cumplimiento de sus metas y objetivos. Se recomienda el fortalecimiento de la aplicación de controles a los diferentes eventos de riesgo identificados, así como el diseño de acciones de mejora a partir de los resultados de actividades de evaluación y seguimiento.</t>
  </si>
  <si>
    <t xml:space="preserve">ACTIVIDADES DE MONITOREO </t>
  </si>
  <si>
    <t xml:space="preserve">Evaluación </t>
  </si>
  <si>
    <t>Puntaje</t>
  </si>
  <si>
    <t xml:space="preserve">Orden </t>
  </si>
  <si>
    <t>Nivel de cumplimiento -Aaspectos particulares por componente</t>
  </si>
  <si>
    <t xml:space="preserve">Promedios </t>
  </si>
  <si>
    <t>1a</t>
  </si>
  <si>
    <t>1b</t>
  </si>
  <si>
    <t>1c</t>
  </si>
  <si>
    <t>1d</t>
  </si>
  <si>
    <t>1e</t>
  </si>
  <si>
    <t>1f</t>
  </si>
  <si>
    <t>1g</t>
  </si>
  <si>
    <t>1h</t>
  </si>
  <si>
    <t>1i</t>
  </si>
  <si>
    <t>1j</t>
  </si>
  <si>
    <t>1k</t>
  </si>
  <si>
    <t>1l</t>
  </si>
  <si>
    <t>2a</t>
  </si>
  <si>
    <t>La identificación de cambios en su entorno que pueden generar consecuencias negativas en su gestión</t>
  </si>
  <si>
    <t>2b</t>
  </si>
  <si>
    <t>La identificación de aquellos problemas o aspectos que pueden afectar el cumplimiento de los planes de la entidad y en general su gestión institucional (riesgos)</t>
  </si>
  <si>
    <t>2c</t>
  </si>
  <si>
    <t>La identificación  de los riesgos relacionados con posibles actos de corrupción en el ejercicio de sus funciones</t>
  </si>
  <si>
    <t>2d</t>
  </si>
  <si>
    <t>3a</t>
  </si>
  <si>
    <t>3b</t>
  </si>
  <si>
    <t>3c</t>
  </si>
  <si>
    <t>4a</t>
  </si>
  <si>
    <t>4b</t>
  </si>
  <si>
    <t>4c</t>
  </si>
  <si>
    <t>5a</t>
  </si>
  <si>
    <t>5b</t>
  </si>
  <si>
    <t>5c</t>
  </si>
  <si>
    <t>5d</t>
  </si>
  <si>
    <t>5e</t>
  </si>
  <si>
    <t>6a</t>
  </si>
  <si>
    <t>6b</t>
  </si>
  <si>
    <t>6c</t>
  </si>
  <si>
    <t>6d</t>
  </si>
  <si>
    <t>6e</t>
  </si>
  <si>
    <t>El jefe de control interno o quien haga sus veces, ha podido evidenciar si en la entidad si el manejo que se ha hecho a los problemas que afectan el cumplimiento de sus metas y objetivos (riesgos) le ha permitido:</t>
  </si>
  <si>
    <t>6f</t>
  </si>
  <si>
    <t>6g</t>
  </si>
  <si>
    <t>7a</t>
  </si>
  <si>
    <t>7d</t>
  </si>
  <si>
    <t>7f</t>
  </si>
  <si>
    <t>7g</t>
  </si>
  <si>
    <t>8h</t>
  </si>
  <si>
    <t>9a</t>
  </si>
  <si>
    <t>9b</t>
  </si>
  <si>
    <t>9c</t>
  </si>
  <si>
    <t>9d</t>
  </si>
  <si>
    <t>9e</t>
  </si>
  <si>
    <t>Amable cuenta con políticas, manuales, formatos y procedimientos documentados correspondientes a los procesos internos identificados en su mapa de procesos, además, dicha información se encuentra almacenada en el espacio virtual dispuesto por la Entidad a través de la ventanilla única virtual para consulta de los interesados internos. Se resalta que dicha documentación debe ser objeto de actualización constante por parte de la Entidad.</t>
  </si>
  <si>
    <t>Actualmente Amable cuenta únicamente con dos cargos, gerente y asesor de control interno, el primero vinculado a través de libre nombramiento y remoción y el segundo libre nombramiento por período, ambos cargos se encuentran provistos.</t>
  </si>
  <si>
    <t>Debido a que la Entidad cuenta con dos funcionarios, vinculado el primero a través de Libre Nombramiento y Remoción y el segundo a través de Libre Nombramiento por Período, no se ha realizado evaluación de desempeño público ni se han aplicado acuerdos de gestión. Se deja claridad que la entidad, por las condiciones expuestas con anterioridad, no se encuentra obligada a realzar proceso de evaluación de desempeño laboral.</t>
  </si>
  <si>
    <t>Amable cuenta con matrices de riesgo por proceso interno, donde se identificaron eventos que podrían, eventualmente, afectar el cumplimiento de planes, además, también cuenta con una matriz de riesgos relacionada de manera directa a la gestión del proyecto Sistema Estratégico de Transporte Público en la ciudad de Armenia. Estas matrices se encuentran almacenadas para consulta en el espacio de la Ventanilla Única Virtual y el archivo de gestión de Amable, además, los procesos, en el período informado, realizaron seguimiento a su contenido.</t>
  </si>
  <si>
    <t>La Entidad ha identificado algunos riesgos relacionados con las tecnologías de la información como la administración de sistemas de información o equipos de cómputo con los cuales se cuenta, sin embargo, se recomienda continuar con la identificación de otros riesgos correspondientes. se puede evidenciar en las matrices de riesgo de los procesos internos relacionados con administración de sistemas de información y tecnologías de la información, lo anterior teniendo en cuenta los cambios acaecidos frente a la presencia del virus SARS CoV 2 en el país y las restricción en movilidad decretadas por el Gobierno Nacional.</t>
  </si>
  <si>
    <t>Se evidenció que la Entidad cuenta con formatos para el seguimiento periódico de los riesgos identificados por proceso, además, que dicha información se reporta y almacena en el espacio de la ventanilla única virtual dispuesto para esto. En este sentido, los procesos cuentan con acceso a la información sobre el desempeño de las actividades de riesgos de los procesos internos.</t>
  </si>
  <si>
    <t>Aunque la Entidad no ha documentado acciones de mejora por autogestión en el período evaluado, sí se ha evidenciado que se han actualizado, modificado o subsanado acciones evidenciadas en los seguimientos autónomos realizados.</t>
  </si>
  <si>
    <t>Se evidenció que en las matrices de riesgo de los procesos internos, así como la matriz del proyecto Sistema Estratégico de Transporte Público para Armenia, cuentan con controles definidos para mitigar la probabilidad o impacto de ocurrencia de los riesgos identificados. Se evidencia en las matrices de riesgo construidas y almacenadas en el archivo de gestión de la Entidad. De igual manera, existe una matriz de riesgos de corrupción general publicada en la página web junto con el Plan Anticorrupción y de Atención al Ciudadano.</t>
  </si>
  <si>
    <t>No se evidenció la construcción de planes de mejoramiento para subsanar la materialización de riesgos o mitigar las consecuencias para la Entidad, no obstante, en los controles diseñados para mitigar los impactos o disminuir las probabilidades, sí se evidenció controles que buscan subsanar consecuencias una vez materializado un riesgo.</t>
  </si>
  <si>
    <t>Con el objetivo de realizar supervisión al Sistema de Control Interno, la Entidad, a través del área de control interno, supervisa y analiza los resultados obtenidos a través del FURAG. También se realizan seguimientos y auditorías a los procesos internos, donde se evidencian y alertan a la gerencia posibles desviaciones en la gestión administrativa de la Entidad.</t>
  </si>
  <si>
    <t>Se evidenció que la Entidad sí ha definido espacios de reunión donde se tratan temas relacionados a los problemas que afectan el cumplimiento de las metas u objetivos institucionales, además, se discuten y analizan acciones para su solución. De manera complementaria, esta Entidad cuenta con la asesoría de profesionales de otras entidades como Ministerio de Hacienda y Crédito Público, Ministerio de Transporte y DNP, quienes también participan en estos espacios, incluyendo, la identificación y evaluación de los riesgos de este proyecto.</t>
  </si>
  <si>
    <t>La Entidad cuenta con un plan de acción coherente con el Plan de Desarrollo Municipal 2020 - 2023, de donde se desprende la ejecución de proyectos propios de la misionalidad del Sistema Estratégico de Transporte Público. Dichos planes pueden ser consultados en la página web institucional http://www.armeniaamable.gov.co/</t>
  </si>
  <si>
    <t>Se ha identificado que la Entidad, a través de la aplicación de controles, ha logrado evitar la materialización de algunos riesgos y minimizar la ocurrencia de problemas. No obstante, se recomienda realizar el proceso de revisión y actualización de estas herramientas de manera periódica, determinando nuevos controles de acuerdo con los cambios en el contexto.</t>
  </si>
  <si>
    <t>Amable cuenta con una matriz de riesgos de corrupción la cual fue actualizada de acuerdo con el procedimiento establecido por el Departamento Administrativo de la Función Pública junto con el Plan Anticorrupción y de Atención al Ciudadano. Dicho mapa de riesgos puede ser consultado accediendo a través del siguiente enlace http://www.armeniaamable.gov.co/transparencia-ley-1712/plan-anticorrupcion-y-atencion-al-ciudadano</t>
  </si>
  <si>
    <t xml:space="preserve"> 01 DE ENERO DE 2022 A 30 DE JUNIO DE 2022</t>
  </si>
  <si>
    <t>Debido a que la Entidad solo cuenta con dos empleados públicos no se ha implementado de manera toral las actividades relacionadas al sistema de estímulos establecido en la Ley 909 de 2004, a pesar de esta limitante, la Oficina Asesora de Control Interno sí se ha evidenciado para la vigencia 2022 la realización de algunas actividades relacionadas al bienestar social como procesos de inducción a contratistas, celebración de fechas especiales, pausas activas, además, de la inclusión de los profesionales en jornadas de capacitación relacionados con la Alcaldía del municipio Armenia, Ministerio de Transporte, Ministerio de Hacienda y Crédito Público y Departamento Nacional de Planeación -  DNP.</t>
  </si>
  <si>
    <t>Amable cuenta con matrices de riesgo por proceso interno, donde se identificaron posibles eventos externos, además, también cuenta con una matriz de riesgos relacionada de manera directa a la gestión del proyecto Sistema Estratégico de Transporte Público en la ciudad de Armenia. Sin embargo, se recomienda analizar sobre la pertinencia de estos eventos de riesgo y actualizar o incluir, de ser necesario, nuevos eventos a partir de los cambios en el entorno de Amable. Para el período, se evidenció que los procesos actualizaron sus matrices de riesgo de acuerdo con la metodología incluida en la guía para la administración del riesgo expedida por parte del DAFP, en su versión 5.</t>
  </si>
  <si>
    <t>Durante los seguimientos realizados a la gestión de los riesgos, se identifican oportunidades de mejora frente a cómo controlar los riesgos o los procesos, además, de proponer ajustes si se evidencia su necesidad. No obstante, las matrices de riesgo cuentan con controles y planes de mejoramiento cuando así lo requieren.</t>
  </si>
  <si>
    <t>Se realizan mediciones de aplicación de los controles a través de contratistas con obligaciones de planeación institucional y de la oficina asesora de control interno. De igual manera, los procesos reportan periódicamente el seguimiento a sus riesgos, información que se encuentra alojada en el espacio dispuesto en la ventanilla única virtual. Por parte de la Oficina de Control Interno, se recomienda fortalecer los procesos de monitoreo y seguimiento a los riesgos.</t>
  </si>
  <si>
    <t>La Entidad cuenta con un Plan Anticorrupción y de Atención al Ciudadano para la vigencia 2022, el cual fue aprobado por el Comité Institucional de Gestión y Desempeño y se encuentra publicado en la página web de la Entidad para la consulta de los interesados:  http://www.armeniaamable.gov.co/transparencia-ley-1712/plan-anticorrupcion-y-atencion-al-ciudadano</t>
  </si>
  <si>
    <t>Se ha evidenciado que la Entidad ha realizado un esfuerzo importante en lo que respecta a la implementación del Modelo Integrado de Planeación y Gestión - MIPG obteniendo para la vigencia 2021 66,4 y ubicándose por encima de la media nacional para entidades territoriales,  a la vez que fortalece la  implementación del Modelo Estándar de Control Interno inmerso en la séptima dimensión de este Modelo. Por su parte, se identificó que el Comité Institucional de Coordinación de Control Interno ha operado en la vigencia evaluada acorde con el acto administrativo de su conformación, logrando cierto grado de armonización de los requisitos ligados a los componentes del Sistema de Control Interno con la alta dirección de la Entidad, evidenciando, además, compromiso por parte de la misma. En general, se continúa con la recomendación de fortalecer el conocimiento del Sistema de Control Interno y sus principios, autocontrol, autogestión y autorregulación, por parte de todos los colaboradores sin importar su tipo de vinculación a la Entidad, de igual manera, promover el fortalecimiento del conocimiento en temas relacionados al MIPG y al SIstema de Control Interno, indicando los roles y responsabilidades que se deben cumplir. Además de esto, se identificó que la Entidad realizó durante el período evaluado la actualización de  las matrices de riesgo institucionales de acuerdo con la nueva guía de administración del riesgo en su versión 5, expedida por el Departamento Administrativo de la Función Pública, en cuanto a esta actividad, se recomienda continuar con el monitoreo de los riesgos y sus controles.</t>
  </si>
  <si>
    <t>Se ha evidenciado que el Sistema de Control Interno ha permitido la implementación de herramientas de control y seguimiento que a su vez han apuntado al cumplimiento de metas y objetivos institucionales y al mejoramiento continuo institucional. No obstante a esto, la Entidad sí cuenta con oportunidades de mejora que permitirán mejorar la madurez del Sistema de Control Interno, y consigo, el grado de cumplimiento a los requerimientos de los diferentes grupos de interés y de valor. Para la vigencia 2021, el SCI obtuvo una calificación de 67,8 en los resultados FURAG.</t>
  </si>
  <si>
    <t>A pesar que en la Entidad sí se ha tratado el modelo de líneas de defensa, no se ha documentado de forma clara las responsabilidades e integrantes de cada una de estas líneas en la Entidad. En concepto de la oficina de control interno, la implementación del modelo de líneas de defensas se puede ver afectado por el tipo de vinculación de los colaboradores de la entidad, toda vez que la empresa solo cuenta con dos empleados públicos y los demás profesionales son vinculados a través de contratos de prestación de servicios.</t>
  </si>
  <si>
    <t>La Entidad cuenta con  políticas, directrices y otro información documentada, así como de herramientas de control como la adopción del código de integridad, manual de funciones, organigrama y plataforma estratégica institucional, que permiten tener claridad sobre algunos aspectos mínimos para la operación de la Entidad a través de su modelo de gestión. Asimismo, ha adoptado herramientas contenidas en el Modelo Integrado de Planeación y Gestión que permiten guiar a los colaboradores de la Entidad al cumplimiento de metas y objetivos. Se evidencia que estas herramientas deben ser socializadas con todos los contratistas y funcionarios, además, de actualizadas cuando se requiera. 
No obstante, se evidencia la necesidad de revisar y actualizar constantemente la información documentada como procedimientos, manuales y formatos. Además, fortalecer lo referente a la gestión del código de integridad e implementación de procedimientos para la gestión de conflictos de intereses</t>
  </si>
  <si>
    <t>Actualmente Amable cuenta con matrices de riesgo por procesos internos y del proyecto Sistema Estratégico de Transporte Público de la ciudad de Armenia, donde se identificaron riesgos y establecideron controles para su tratamiento, no obstante, se recomienda fortalecer las actividades de apropiación de la cultura de gestión del riesgo, así como los seguimiento por parte de planeación institucional y ejecutores de operaciones. Además de esto, se evidencia la necesidad de fortalecer los canales de comunicación de los resultados de la gestión de los riesgos con los procesos de la entidad.
Por su parte, la Entidad realizó la actualización de las matrices de riesgo institucional acorde con la Guía de Administración del Riesgo en su versión 5, expedida por el Departamento Administrativo de la Función Pública. Se recomienda realizar actividades de monitoreo y evaluación constantes a la gestión del riesgo institucional.</t>
  </si>
  <si>
    <t>Amable cuenta con canales para la comunicación con grupos de interés internos y externos, sin embargo, se recomienda la documentación de responsabilidades frente a la comunicación interna y externa a través de políticas y procedimientos internos, o políticas de la dirección. Además, de la evaluación de necesidad para la creación e implementación de herramientas que mejoren la comunicación.
Al igual que el componente 1, se recomienda a la entidad fortalecer y ampliar los canales de comunicación tanto con la ciudadanía como internamente, lo anterior, teniendo en cuenta la importancia de los procesos virtuales actualmente.</t>
  </si>
  <si>
    <t>Se evidenció que la Entidad cuenta con un Programa Anual de Auditoría basada en riesgos,  el cual fue revisado y aprobado por el Comité Institucional de Coordinación de Control Interno en enero de 2022, además, durante el primer semestre se han  ejecutado las actividades de auditoría interna y seguimientos a través de la oficina asesora de control interno. Por su parte, se evidenció que se suscriben planes de mejoramiento derivados de auditorías internas y externas, a los cuales se les realiza seguimiento a su avance y cumplimiento. 
Se recomienda fortalecer la cultura del mejoramiento continuo, promoviendo la documentación de acciones de mejora por autogestión, formulación de indicadores de gestión por procesos o áreas e identificación de puntos críticos en los procesos.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</si>
</sst>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0" x14ac:knownFonts="1">
    <font>
      <sz val="11"/>
      <color theme="1"/>
      <name val="Calibri"/>
      <family val="2"/>
      <scheme val="minor"/>
    </font>
    <font>
      <sz val="12"/>
      <color theme="1"/>
      <name val="Calibri"/>
      <family val="2"/>
      <scheme val="minor"/>
    </font>
    <font>
      <sz val="11"/>
      <name val="Arial"/>
      <family val="2"/>
    </font>
    <font>
      <b/>
      <sz val="12"/>
      <name val="Arial"/>
      <family val="2"/>
    </font>
    <font>
      <sz val="11"/>
      <color theme="1"/>
      <name val="Calibri"/>
      <family val="2"/>
      <scheme val="minor"/>
    </font>
    <font>
      <sz val="11"/>
      <color theme="0"/>
      <name val="Calibri"/>
      <family val="2"/>
      <scheme val="minor"/>
    </font>
    <font>
      <b/>
      <sz val="12"/>
      <color theme="0"/>
      <name val="Arial"/>
      <family val="2"/>
    </font>
    <font>
      <b/>
      <sz val="20"/>
      <color theme="0"/>
      <name val="Arial Narrow"/>
      <family val="2"/>
    </font>
    <font>
      <sz val="11"/>
      <color theme="1"/>
      <name val="Arial Narrow"/>
      <family val="2"/>
    </font>
    <font>
      <sz val="11"/>
      <color theme="0"/>
      <name val="Arial Narrow"/>
      <family val="2"/>
    </font>
    <font>
      <b/>
      <sz val="18"/>
      <color theme="0"/>
      <name val="Arial"/>
      <family val="2"/>
    </font>
    <font>
      <sz val="20"/>
      <color rgb="FFFF0000"/>
      <name val="Arial"/>
      <family val="2"/>
    </font>
    <font>
      <b/>
      <sz val="12"/>
      <color rgb="FFFF0000"/>
      <name val="Arial"/>
      <family val="2"/>
    </font>
    <font>
      <b/>
      <sz val="10"/>
      <color rgb="FFFF0000"/>
      <name val="Arial"/>
      <family val="2"/>
    </font>
    <font>
      <b/>
      <sz val="10"/>
      <color theme="1"/>
      <name val="Arial"/>
      <family val="2"/>
    </font>
    <font>
      <b/>
      <sz val="16"/>
      <color theme="1"/>
      <name val="Arial"/>
      <family val="2"/>
    </font>
    <font>
      <b/>
      <i/>
      <sz val="10"/>
      <name val="Arial"/>
      <family val="2"/>
    </font>
    <font>
      <b/>
      <i/>
      <sz val="10"/>
      <color theme="1"/>
      <name val="Arial"/>
      <family val="2"/>
    </font>
    <font>
      <b/>
      <sz val="16"/>
      <color theme="0"/>
      <name val="Arial Narrow"/>
      <family val="2"/>
    </font>
    <font>
      <b/>
      <sz val="12"/>
      <color theme="0"/>
      <name val="Arial Narrow"/>
      <family val="2"/>
    </font>
    <font>
      <b/>
      <sz val="10"/>
      <color theme="0"/>
      <name val="Arial Narrow"/>
      <family val="2"/>
    </font>
    <font>
      <sz val="12"/>
      <color theme="1"/>
      <name val="Arial"/>
      <family val="2"/>
    </font>
    <font>
      <sz val="10"/>
      <color theme="1"/>
      <name val="Calibri"/>
      <family val="2"/>
      <scheme val="minor"/>
    </font>
    <font>
      <sz val="10"/>
      <color theme="0"/>
      <name val="Arial Narrow"/>
      <family val="2"/>
    </font>
    <font>
      <sz val="14"/>
      <color theme="0"/>
      <name val="Arial"/>
      <family val="2"/>
    </font>
    <font>
      <sz val="10"/>
      <color theme="1"/>
      <name val="Arial Narrow"/>
      <family val="2"/>
    </font>
    <font>
      <b/>
      <sz val="11"/>
      <name val="Arial Narrow"/>
      <family val="2"/>
    </font>
    <font>
      <sz val="10"/>
      <name val="Arial Narrow"/>
      <family val="2"/>
    </font>
    <font>
      <sz val="16"/>
      <color theme="0"/>
      <name val="Calibri"/>
      <family val="2"/>
      <scheme val="minor"/>
    </font>
    <font>
      <b/>
      <sz val="18"/>
      <name val="Calibri"/>
      <family val="2"/>
      <scheme val="minor"/>
    </font>
    <font>
      <sz val="10"/>
      <name val="Arial"/>
      <family val="2"/>
    </font>
    <font>
      <b/>
      <sz val="14"/>
      <name val="Arial Narrow"/>
      <family val="2"/>
    </font>
    <font>
      <b/>
      <u/>
      <sz val="11"/>
      <name val="Arial Narrow"/>
      <family val="2"/>
    </font>
    <font>
      <b/>
      <sz val="10"/>
      <name val="Arial Narrow"/>
      <family val="2"/>
    </font>
    <font>
      <sz val="12"/>
      <name val="Times New Roman"/>
      <family val="1"/>
    </font>
    <font>
      <b/>
      <sz val="9"/>
      <name val="Arial Narrow"/>
      <family val="2"/>
    </font>
    <font>
      <sz val="9"/>
      <name val="Arial Narrow"/>
      <family val="2"/>
    </font>
    <font>
      <sz val="11"/>
      <name val="Arial Narrow"/>
      <family val="2"/>
    </font>
    <font>
      <b/>
      <sz val="10"/>
      <color theme="1"/>
      <name val="Arial Narrow"/>
      <family val="2"/>
    </font>
    <font>
      <sz val="15"/>
      <name val="Arial Narrow"/>
      <family val="2"/>
    </font>
    <font>
      <sz val="15"/>
      <color theme="1"/>
      <name val="Arial Narrow"/>
      <family val="2"/>
    </font>
    <font>
      <sz val="8"/>
      <name val="Calibri"/>
      <family val="2"/>
      <scheme val="minor"/>
    </font>
    <font>
      <b/>
      <sz val="18"/>
      <color theme="1"/>
      <name val="Calibri"/>
      <family val="2"/>
      <scheme val="minor"/>
    </font>
    <font>
      <b/>
      <sz val="20"/>
      <name val="Arial"/>
      <family val="2"/>
    </font>
    <font>
      <sz val="18"/>
      <name val="Arial Narrow"/>
      <family val="2"/>
    </font>
    <font>
      <sz val="12"/>
      <color theme="0"/>
      <name val="Arial Narrow"/>
      <family val="2"/>
    </font>
    <font>
      <b/>
      <sz val="14"/>
      <color theme="0"/>
      <name val="Arial Narrow"/>
      <family val="2"/>
    </font>
    <font>
      <sz val="12"/>
      <name val="Arial Narrow"/>
      <family val="2"/>
    </font>
    <font>
      <sz val="12"/>
      <color theme="1"/>
      <name val="Arial Narrow"/>
      <family val="2"/>
    </font>
    <font>
      <sz val="14"/>
      <color theme="1"/>
      <name val="Calibri"/>
      <family val="2"/>
      <scheme val="minor"/>
    </font>
    <font>
      <b/>
      <sz val="14"/>
      <name val="Arial"/>
      <family val="2"/>
    </font>
    <font>
      <sz val="18"/>
      <color theme="1"/>
      <name val="Arial"/>
      <family val="2"/>
    </font>
    <font>
      <b/>
      <sz val="24"/>
      <color theme="0"/>
      <name val="Arial Narrow"/>
      <family val="2"/>
    </font>
    <font>
      <b/>
      <sz val="20"/>
      <color theme="0"/>
      <name val="Arial"/>
      <family val="2"/>
    </font>
    <font>
      <sz val="20"/>
      <color theme="1"/>
      <name val="Calibri"/>
      <family val="2"/>
      <scheme val="minor"/>
    </font>
    <font>
      <b/>
      <u/>
      <sz val="20"/>
      <color theme="0"/>
      <name val="Arial"/>
      <family val="2"/>
    </font>
    <font>
      <sz val="25"/>
      <color theme="1"/>
      <name val="Calibri"/>
      <family val="2"/>
      <scheme val="minor"/>
    </font>
    <font>
      <sz val="25"/>
      <color theme="1"/>
      <name val="Arial Narrow"/>
      <family val="2"/>
    </font>
    <font>
      <sz val="12"/>
      <name val="Arial"/>
      <family val="2"/>
    </font>
    <font>
      <sz val="12"/>
      <color theme="1"/>
      <name val="Calibri"/>
      <family val="2"/>
      <scheme val="minor"/>
    </font>
  </fonts>
  <fills count="17">
    <fill>
      <patternFill patternType="none"/>
    </fill>
    <fill>
      <patternFill patternType="gray125"/>
    </fill>
    <fill>
      <patternFill patternType="solid">
        <fgColor theme="3" tint="0.39997558519241921"/>
        <bgColor indexed="64"/>
      </patternFill>
    </fill>
    <fill>
      <patternFill patternType="solid">
        <fgColor theme="3" tint="0.59999389629810485"/>
        <bgColor indexed="64"/>
      </patternFill>
    </fill>
    <fill>
      <patternFill patternType="solid">
        <fgColor theme="0"/>
        <bgColor indexed="64"/>
      </patternFill>
    </fill>
    <fill>
      <patternFill patternType="solid">
        <fgColor theme="4"/>
        <bgColor indexed="64"/>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
      <patternFill patternType="solid">
        <fgColor theme="5" tint="-0.249977111117893"/>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4" tint="-0.249977111117893"/>
        <bgColor indexed="64"/>
      </patternFill>
    </fill>
    <fill>
      <patternFill patternType="solid">
        <fgColor rgb="FFFFCC00"/>
        <bgColor indexed="64"/>
      </patternFill>
    </fill>
    <fill>
      <patternFill patternType="solid">
        <fgColor rgb="FF00B050"/>
        <bgColor indexed="64"/>
      </patternFill>
    </fill>
    <fill>
      <patternFill patternType="solid">
        <fgColor rgb="FF83A343"/>
        <bgColor indexed="64"/>
      </patternFill>
    </fill>
    <fill>
      <patternFill patternType="solid">
        <fgColor theme="9" tint="0.39997558519241921"/>
        <bgColor indexed="64"/>
      </patternFill>
    </fill>
  </fills>
  <borders count="94">
    <border>
      <left/>
      <right/>
      <top/>
      <bottom/>
      <diagonal/>
    </border>
    <border>
      <left/>
      <right/>
      <top style="medium">
        <color auto="1"/>
      </top>
      <bottom style="medium">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auto="1"/>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auto="1"/>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81829A"/>
      </left>
      <right/>
      <top style="thin">
        <color rgb="FF81829A"/>
      </top>
      <bottom style="thin">
        <color indexed="64"/>
      </bottom>
      <diagonal/>
    </border>
    <border>
      <left/>
      <right/>
      <top style="thin">
        <color rgb="FF81829A"/>
      </top>
      <bottom style="thin">
        <color indexed="64"/>
      </bottom>
      <diagonal/>
    </border>
    <border>
      <left/>
      <right style="thin">
        <color rgb="FF81829A"/>
      </right>
      <top style="thin">
        <color rgb="FF81829A"/>
      </top>
      <bottom style="thin">
        <color indexed="64"/>
      </bottom>
      <diagonal/>
    </border>
    <border>
      <left/>
      <right/>
      <top style="thin">
        <color auto="1"/>
      </top>
      <bottom/>
      <diagonal/>
    </border>
    <border>
      <left style="thin">
        <color rgb="FF81829A"/>
      </left>
      <right style="thin">
        <color rgb="FF81829A"/>
      </right>
      <top style="thin">
        <color rgb="FF81829A"/>
      </top>
      <bottom style="thin">
        <color rgb="FF81829A"/>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bottom/>
      <diagonal/>
    </border>
    <border>
      <left style="hair">
        <color indexed="64"/>
      </left>
      <right style="medium">
        <color indexed="64"/>
      </right>
      <top style="hair">
        <color indexed="64"/>
      </top>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style="medium">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right/>
      <top style="medium">
        <color indexed="64"/>
      </top>
      <bottom style="thin">
        <color indexed="64"/>
      </bottom>
      <diagonal/>
    </border>
    <border>
      <left style="dashed">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right/>
      <top style="dashed">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style="thin">
        <color indexed="64"/>
      </top>
      <bottom style="hair">
        <color indexed="64"/>
      </bottom>
      <diagonal/>
    </border>
    <border>
      <left/>
      <right style="hair">
        <color indexed="64"/>
      </right>
      <top style="thin">
        <color indexed="64"/>
      </top>
      <bottom style="hair">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diagonal/>
    </border>
    <border>
      <left style="hair">
        <color indexed="64"/>
      </left>
      <right style="hair">
        <color indexed="64"/>
      </right>
      <top style="hair">
        <color indexed="64"/>
      </top>
      <bottom/>
      <diagonal/>
    </border>
    <border>
      <left style="medium">
        <color indexed="64"/>
      </left>
      <right style="hair">
        <color indexed="64"/>
      </right>
      <top style="hair">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s>
  <cellStyleXfs count="5">
    <xf numFmtId="0" fontId="0" fillId="0" borderId="0"/>
    <xf numFmtId="9" fontId="4" fillId="0" borderId="0" applyFont="0" applyFill="0" applyBorder="0" applyAlignment="0" applyProtection="0"/>
    <xf numFmtId="0" fontId="22" fillId="0" borderId="0"/>
    <xf numFmtId="0" fontId="30" fillId="0" borderId="0"/>
    <xf numFmtId="0" fontId="34" fillId="0" borderId="0"/>
  </cellStyleXfs>
  <cellXfs count="335">
    <xf numFmtId="0" fontId="0" fillId="0" borderId="0" xfId="0"/>
    <xf numFmtId="0" fontId="0" fillId="4" borderId="0" xfId="0" applyFill="1"/>
    <xf numFmtId="0" fontId="0" fillId="4" borderId="17" xfId="0" applyFill="1" applyBorder="1"/>
    <xf numFmtId="0" fontId="0" fillId="4" borderId="18" xfId="0" applyFill="1" applyBorder="1"/>
    <xf numFmtId="0" fontId="0" fillId="4" borderId="19" xfId="0" applyFill="1" applyBorder="1"/>
    <xf numFmtId="0" fontId="0" fillId="4" borderId="20" xfId="0" applyFill="1" applyBorder="1"/>
    <xf numFmtId="0" fontId="0" fillId="4" borderId="0" xfId="0" applyFill="1" applyBorder="1"/>
    <xf numFmtId="0" fontId="8" fillId="4" borderId="0" xfId="0" applyFont="1" applyFill="1" applyBorder="1" applyAlignment="1">
      <alignment horizontal="center"/>
    </xf>
    <xf numFmtId="0" fontId="0" fillId="4" borderId="21" xfId="0" applyFill="1" applyBorder="1"/>
    <xf numFmtId="164" fontId="8" fillId="4" borderId="0" xfId="0" applyNumberFormat="1" applyFont="1" applyFill="1" applyBorder="1" applyAlignment="1">
      <alignment horizontal="center"/>
    </xf>
    <xf numFmtId="0" fontId="9" fillId="4" borderId="0" xfId="0" applyFont="1" applyFill="1" applyBorder="1" applyAlignment="1">
      <alignment vertical="center"/>
    </xf>
    <xf numFmtId="0" fontId="11" fillId="4" borderId="0" xfId="0" applyFont="1" applyFill="1" applyBorder="1" applyAlignment="1">
      <alignment horizontal="center" vertical="center"/>
    </xf>
    <xf numFmtId="0" fontId="12" fillId="4" borderId="0" xfId="0" applyFont="1" applyFill="1" applyBorder="1"/>
    <xf numFmtId="0" fontId="10" fillId="4" borderId="0" xfId="0" applyFont="1" applyFill="1" applyBorder="1" applyAlignment="1">
      <alignment horizontal="center" vertical="center"/>
    </xf>
    <xf numFmtId="0" fontId="3" fillId="4" borderId="30" xfId="0" applyFont="1" applyFill="1" applyBorder="1" applyAlignment="1">
      <alignment horizontal="center" vertical="center"/>
    </xf>
    <xf numFmtId="0" fontId="3" fillId="4" borderId="0" xfId="0" applyFont="1" applyFill="1" applyBorder="1" applyAlignment="1">
      <alignment horizontal="center" vertical="center"/>
    </xf>
    <xf numFmtId="0" fontId="13" fillId="4" borderId="0" xfId="0" applyFont="1" applyFill="1" applyBorder="1" applyAlignment="1">
      <alignment wrapText="1"/>
    </xf>
    <xf numFmtId="0" fontId="14" fillId="4" borderId="0" xfId="0" applyFont="1" applyFill="1" applyAlignment="1">
      <alignment wrapText="1"/>
    </xf>
    <xf numFmtId="0" fontId="0" fillId="0" borderId="0" xfId="0" applyBorder="1"/>
    <xf numFmtId="0" fontId="6" fillId="0" borderId="0" xfId="0" applyFont="1" applyFill="1" applyBorder="1" applyAlignment="1">
      <alignment vertical="center"/>
    </xf>
    <xf numFmtId="9" fontId="3" fillId="0" borderId="0" xfId="0" applyNumberFormat="1" applyFont="1" applyFill="1" applyBorder="1" applyAlignment="1">
      <alignment vertical="center"/>
    </xf>
    <xf numFmtId="0" fontId="3" fillId="4" borderId="21" xfId="0" applyFont="1" applyFill="1" applyBorder="1" applyAlignment="1">
      <alignment vertical="center"/>
    </xf>
    <xf numFmtId="0" fontId="3" fillId="4" borderId="0" xfId="0" applyFont="1" applyFill="1" applyBorder="1" applyAlignment="1">
      <alignment vertical="center"/>
    </xf>
    <xf numFmtId="0" fontId="0" fillId="0" borderId="0" xfId="0" applyFill="1" applyBorder="1"/>
    <xf numFmtId="0" fontId="0" fillId="0" borderId="3" xfId="0" applyBorder="1"/>
    <xf numFmtId="0" fontId="6" fillId="4" borderId="0" xfId="0" applyFont="1" applyFill="1" applyBorder="1" applyAlignment="1">
      <alignment vertical="center"/>
    </xf>
    <xf numFmtId="0" fontId="3" fillId="4" borderId="0" xfId="0" applyFont="1" applyFill="1" applyBorder="1" applyAlignment="1">
      <alignment horizontal="left" vertical="center"/>
    </xf>
    <xf numFmtId="0" fontId="16" fillId="4" borderId="0" xfId="0" applyFont="1" applyFill="1" applyBorder="1" applyAlignment="1">
      <alignment vertical="center"/>
    </xf>
    <xf numFmtId="0" fontId="17" fillId="4" borderId="0" xfId="0" applyFont="1" applyFill="1" applyBorder="1"/>
    <xf numFmtId="0" fontId="0" fillId="4" borderId="34" xfId="0" applyFill="1" applyBorder="1"/>
    <xf numFmtId="0" fontId="0" fillId="4" borderId="35" xfId="0" applyFill="1" applyBorder="1"/>
    <xf numFmtId="0" fontId="0" fillId="4" borderId="36" xfId="0" applyFill="1" applyBorder="1"/>
    <xf numFmtId="0" fontId="21" fillId="0" borderId="0" xfId="0" applyFont="1" applyBorder="1" applyAlignment="1">
      <alignment horizontal="center" wrapText="1"/>
    </xf>
    <xf numFmtId="0" fontId="6" fillId="4" borderId="0" xfId="0" applyFont="1" applyFill="1" applyBorder="1" applyAlignment="1">
      <alignment horizontal="center" vertical="center" wrapText="1"/>
    </xf>
    <xf numFmtId="0" fontId="5" fillId="4" borderId="0" xfId="0" applyFont="1" applyFill="1" applyBorder="1"/>
    <xf numFmtId="0" fontId="6" fillId="4" borderId="0" xfId="0" applyFont="1" applyFill="1" applyBorder="1" applyAlignment="1">
      <alignment horizontal="left" vertical="center"/>
    </xf>
    <xf numFmtId="9" fontId="6" fillId="4" borderId="0" xfId="0" applyNumberFormat="1" applyFont="1" applyFill="1" applyBorder="1" applyAlignment="1">
      <alignment horizontal="center" vertical="center"/>
    </xf>
    <xf numFmtId="0" fontId="5" fillId="4" borderId="0" xfId="0" applyFont="1" applyFill="1" applyBorder="1" applyAlignment="1">
      <alignment horizontal="left"/>
    </xf>
    <xf numFmtId="0" fontId="23" fillId="0" borderId="0" xfId="2" applyFont="1" applyFill="1" applyAlignment="1" applyProtection="1">
      <alignment vertical="center"/>
      <protection locked="0"/>
    </xf>
    <xf numFmtId="49" fontId="25" fillId="4" borderId="0" xfId="2" applyNumberFormat="1" applyFont="1" applyFill="1" applyAlignment="1" applyProtection="1">
      <alignment vertical="center"/>
      <protection locked="0"/>
    </xf>
    <xf numFmtId="0" fontId="25" fillId="4" borderId="0" xfId="2" applyFont="1" applyFill="1" applyAlignment="1" applyProtection="1">
      <alignment vertical="center"/>
      <protection locked="0"/>
    </xf>
    <xf numFmtId="9" fontId="27" fillId="4" borderId="0" xfId="2" applyNumberFormat="1" applyFont="1" applyFill="1" applyAlignment="1" applyProtection="1">
      <alignment vertical="center"/>
      <protection locked="0"/>
    </xf>
    <xf numFmtId="9" fontId="23" fillId="4" borderId="0" xfId="1" applyFont="1" applyFill="1" applyAlignment="1" applyProtection="1">
      <alignment vertical="center"/>
      <protection locked="0"/>
    </xf>
    <xf numFmtId="9" fontId="23" fillId="4" borderId="0" xfId="2" applyNumberFormat="1" applyFont="1" applyFill="1" applyAlignment="1" applyProtection="1">
      <alignment vertical="center"/>
      <protection locked="0"/>
    </xf>
    <xf numFmtId="0" fontId="27" fillId="4" borderId="0" xfId="2" applyFont="1" applyFill="1" applyAlignment="1" applyProtection="1">
      <alignment vertical="center"/>
      <protection locked="0"/>
    </xf>
    <xf numFmtId="0" fontId="27" fillId="0" borderId="0" xfId="3" applyFont="1" applyProtection="1"/>
    <xf numFmtId="0" fontId="8" fillId="4" borderId="0" xfId="0" applyFont="1" applyFill="1"/>
    <xf numFmtId="0" fontId="8" fillId="0" borderId="0" xfId="0" applyFont="1"/>
    <xf numFmtId="0" fontId="37" fillId="0" borderId="0" xfId="0" applyFont="1" applyAlignment="1">
      <alignment vertical="top"/>
    </xf>
    <xf numFmtId="49" fontId="37" fillId="0" borderId="0" xfId="0" applyNumberFormat="1" applyFont="1" applyAlignment="1">
      <alignment horizontal="center" vertical="top"/>
    </xf>
    <xf numFmtId="0" fontId="23" fillId="4" borderId="0" xfId="2" applyFont="1" applyFill="1" applyAlignment="1" applyProtection="1">
      <alignment vertical="center"/>
      <protection locked="0"/>
    </xf>
    <xf numFmtId="0" fontId="27" fillId="4" borderId="0" xfId="3" applyFont="1" applyFill="1" applyBorder="1" applyProtection="1"/>
    <xf numFmtId="0" fontId="27" fillId="4" borderId="59" xfId="3" applyFont="1" applyFill="1" applyBorder="1" applyAlignment="1" applyProtection="1">
      <alignment vertical="top" wrapText="1"/>
    </xf>
    <xf numFmtId="0" fontId="27" fillId="4" borderId="0" xfId="3" applyFont="1" applyFill="1" applyBorder="1" applyAlignment="1" applyProtection="1">
      <alignment vertical="top" wrapText="1"/>
    </xf>
    <xf numFmtId="0" fontId="27" fillId="4" borderId="60" xfId="3" applyFont="1" applyFill="1" applyBorder="1" applyAlignment="1" applyProtection="1">
      <alignment vertical="top" wrapText="1"/>
    </xf>
    <xf numFmtId="0" fontId="27" fillId="4" borderId="59" xfId="3" applyFont="1" applyFill="1" applyBorder="1" applyAlignment="1" applyProtection="1">
      <alignment horizontal="left" vertical="top"/>
    </xf>
    <xf numFmtId="0" fontId="27" fillId="4" borderId="60" xfId="3" applyFont="1" applyFill="1" applyBorder="1" applyAlignment="1" applyProtection="1">
      <alignment horizontal="left" vertical="top"/>
    </xf>
    <xf numFmtId="0" fontId="27" fillId="4" borderId="59" xfId="3" applyFont="1" applyFill="1" applyBorder="1" applyProtection="1"/>
    <xf numFmtId="0" fontId="35" fillId="4" borderId="0" xfId="4" applyFont="1" applyFill="1" applyBorder="1" applyAlignment="1" applyProtection="1">
      <alignment horizontal="left" vertical="top" wrapText="1" readingOrder="1"/>
    </xf>
    <xf numFmtId="0" fontId="27" fillId="4" borderId="60" xfId="3" applyFont="1" applyFill="1" applyBorder="1" applyProtection="1"/>
    <xf numFmtId="0" fontId="27" fillId="4" borderId="72" xfId="3" applyFont="1" applyFill="1" applyBorder="1" applyProtection="1"/>
    <xf numFmtId="0" fontId="27" fillId="4" borderId="73" xfId="3" applyFont="1" applyFill="1" applyBorder="1" applyProtection="1"/>
    <xf numFmtId="0" fontId="27" fillId="4" borderId="74" xfId="3" applyFont="1" applyFill="1" applyBorder="1" applyProtection="1"/>
    <xf numFmtId="0" fontId="35" fillId="4" borderId="0" xfId="0" applyFont="1" applyFill="1" applyBorder="1" applyAlignment="1" applyProtection="1">
      <alignment horizontal="left" vertical="center" wrapText="1"/>
    </xf>
    <xf numFmtId="0" fontId="36" fillId="4" borderId="0" xfId="0" applyFont="1" applyFill="1" applyBorder="1" applyAlignment="1" applyProtection="1">
      <alignment horizontal="left" vertical="top" wrapText="1"/>
    </xf>
    <xf numFmtId="0" fontId="27" fillId="4" borderId="0" xfId="3" quotePrefix="1" applyFont="1" applyFill="1" applyBorder="1" applyAlignment="1" applyProtection="1">
      <alignment horizontal="left" vertical="center" wrapText="1"/>
    </xf>
    <xf numFmtId="0" fontId="27" fillId="4" borderId="60" xfId="3" applyFont="1" applyFill="1" applyBorder="1" applyAlignment="1" applyProtection="1"/>
    <xf numFmtId="0" fontId="33" fillId="4" borderId="0" xfId="3" applyFont="1" applyFill="1" applyBorder="1" applyAlignment="1" applyProtection="1">
      <alignment horizontal="left" vertical="center" wrapText="1"/>
    </xf>
    <xf numFmtId="0" fontId="27" fillId="4" borderId="0" xfId="3" applyFont="1" applyFill="1" applyBorder="1" applyAlignment="1" applyProtection="1">
      <alignment horizontal="left" vertical="center" wrapText="1"/>
    </xf>
    <xf numFmtId="0" fontId="8" fillId="4" borderId="0" xfId="0" applyFont="1" applyFill="1" applyAlignment="1">
      <alignment vertical="center"/>
    </xf>
    <xf numFmtId="0" fontId="8" fillId="0" borderId="0" xfId="0" applyFont="1" applyAlignment="1">
      <alignment vertical="center"/>
    </xf>
    <xf numFmtId="0" fontId="9" fillId="4" borderId="0" xfId="0" applyFont="1" applyFill="1"/>
    <xf numFmtId="0" fontId="9" fillId="4" borderId="0" xfId="0" applyNumberFormat="1" applyFont="1" applyFill="1"/>
    <xf numFmtId="0" fontId="9" fillId="0" borderId="0" xfId="0" applyFont="1" applyAlignment="1">
      <alignment vertical="top"/>
    </xf>
    <xf numFmtId="0" fontId="9" fillId="0" borderId="0" xfId="0" applyNumberFormat="1" applyFont="1" applyAlignment="1">
      <alignment vertical="top"/>
    </xf>
    <xf numFmtId="0" fontId="9" fillId="0" borderId="0" xfId="0" applyNumberFormat="1" applyFont="1"/>
    <xf numFmtId="0" fontId="45" fillId="9" borderId="11" xfId="0" applyFont="1" applyFill="1" applyBorder="1" applyAlignment="1">
      <alignment horizontal="center" vertical="top" wrapText="1"/>
    </xf>
    <xf numFmtId="49" fontId="46" fillId="5" borderId="7" xfId="0" applyNumberFormat="1" applyFont="1" applyFill="1" applyBorder="1" applyAlignment="1">
      <alignment horizontal="center" vertical="center" wrapText="1"/>
    </xf>
    <xf numFmtId="0" fontId="46" fillId="5" borderId="7" xfId="0" applyFont="1" applyFill="1" applyBorder="1" applyAlignment="1">
      <alignment horizontal="center" vertical="center" wrapText="1"/>
    </xf>
    <xf numFmtId="0" fontId="46" fillId="5" borderId="10" xfId="0" applyFont="1" applyFill="1" applyBorder="1" applyAlignment="1">
      <alignment horizontal="center" vertical="center" wrapText="1"/>
    </xf>
    <xf numFmtId="0" fontId="47" fillId="0" borderId="2" xfId="0" applyFont="1" applyBorder="1" applyAlignment="1">
      <alignment horizontal="center" vertical="center" wrapText="1"/>
    </xf>
    <xf numFmtId="0" fontId="47" fillId="0" borderId="2" xfId="0" applyFont="1" applyBorder="1" applyAlignment="1">
      <alignment horizontal="left" vertical="center" wrapText="1"/>
    </xf>
    <xf numFmtId="0" fontId="47" fillId="0" borderId="3" xfId="0" applyFont="1" applyBorder="1" applyAlignment="1">
      <alignment horizontal="center" vertical="center" wrapText="1"/>
    </xf>
    <xf numFmtId="0" fontId="48" fillId="0" borderId="3" xfId="0" applyFont="1" applyFill="1" applyBorder="1" applyAlignment="1">
      <alignment horizontal="left" vertical="center" wrapText="1"/>
    </xf>
    <xf numFmtId="0" fontId="47" fillId="0" borderId="3" xfId="0" applyFont="1" applyBorder="1" applyAlignment="1">
      <alignment horizontal="left" vertical="center" wrapText="1"/>
    </xf>
    <xf numFmtId="0" fontId="47" fillId="0" borderId="4" xfId="0" applyFont="1" applyBorder="1" applyAlignment="1">
      <alignment horizontal="center" vertical="center" wrapText="1"/>
    </xf>
    <xf numFmtId="0" fontId="47" fillId="0" borderId="4" xfId="0" applyFont="1" applyBorder="1" applyAlignment="1">
      <alignment horizontal="left" vertical="center" wrapText="1"/>
    </xf>
    <xf numFmtId="0" fontId="47" fillId="0" borderId="3" xfId="0" applyFont="1" applyFill="1" applyBorder="1" applyAlignment="1">
      <alignment horizontal="center" vertical="center" wrapText="1"/>
    </xf>
    <xf numFmtId="0" fontId="47" fillId="0" borderId="2" xfId="0" applyFont="1" applyFill="1" applyBorder="1" applyAlignment="1">
      <alignment horizontal="left" vertical="center" wrapText="1"/>
    </xf>
    <xf numFmtId="0" fontId="10" fillId="13" borderId="3" xfId="0" applyFont="1" applyFill="1" applyBorder="1" applyAlignment="1">
      <alignment horizontal="center" vertical="center" wrapText="1"/>
    </xf>
    <xf numFmtId="0" fontId="51" fillId="0" borderId="0" xfId="0" applyFont="1" applyBorder="1" applyAlignment="1">
      <alignment horizontal="center" wrapText="1"/>
    </xf>
    <xf numFmtId="0" fontId="10" fillId="15" borderId="3"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11" borderId="3" xfId="0" applyFont="1" applyFill="1" applyBorder="1" applyAlignment="1">
      <alignment horizontal="center" vertical="center" wrapText="1"/>
    </xf>
    <xf numFmtId="0" fontId="10" fillId="9" borderId="3" xfId="0" applyFont="1" applyFill="1" applyBorder="1" applyAlignment="1">
      <alignment horizontal="center" vertical="center" wrapText="1"/>
    </xf>
    <xf numFmtId="0" fontId="52" fillId="2" borderId="3" xfId="0" applyFont="1" applyFill="1" applyBorder="1" applyAlignment="1">
      <alignment horizontal="center" vertical="center"/>
    </xf>
    <xf numFmtId="0" fontId="43" fillId="0" borderId="3" xfId="0" applyFont="1" applyFill="1" applyBorder="1" applyAlignment="1">
      <alignment horizontal="center" vertical="center"/>
    </xf>
    <xf numFmtId="0" fontId="54" fillId="0" borderId="0" xfId="0" applyFont="1" applyBorder="1" applyAlignment="1">
      <alignment horizontal="center"/>
    </xf>
    <xf numFmtId="0" fontId="53" fillId="12" borderId="31" xfId="0" applyFont="1" applyFill="1" applyBorder="1" applyAlignment="1">
      <alignment horizontal="center" vertical="center" wrapText="1"/>
    </xf>
    <xf numFmtId="0" fontId="43" fillId="0" borderId="0" xfId="0" applyFont="1" applyFill="1" applyBorder="1" applyAlignment="1">
      <alignment horizontal="center" vertical="center" wrapText="1"/>
    </xf>
    <xf numFmtId="0" fontId="26" fillId="4" borderId="0" xfId="2" applyNumberFormat="1" applyFont="1" applyFill="1" applyBorder="1" applyAlignment="1" applyProtection="1">
      <alignment vertical="center" wrapText="1"/>
    </xf>
    <xf numFmtId="0" fontId="36" fillId="4" borderId="0" xfId="2" applyFont="1" applyFill="1" applyBorder="1" applyAlignment="1" applyProtection="1">
      <alignment vertical="center" wrapText="1"/>
    </xf>
    <xf numFmtId="0" fontId="37" fillId="0" borderId="0" xfId="0" applyNumberFormat="1" applyFont="1" applyAlignment="1" applyProtection="1">
      <alignment horizontal="center" vertical="top"/>
      <protection hidden="1"/>
    </xf>
    <xf numFmtId="0" fontId="39" fillId="0" borderId="79" xfId="0" applyFont="1" applyBorder="1" applyAlignment="1" applyProtection="1">
      <alignment horizontal="center" vertical="center" wrapText="1"/>
      <protection hidden="1"/>
    </xf>
    <xf numFmtId="0" fontId="9" fillId="0" borderId="0" xfId="0" applyNumberFormat="1" applyFont="1" applyAlignment="1" applyProtection="1">
      <alignment horizontal="center" vertical="top"/>
      <protection hidden="1"/>
    </xf>
    <xf numFmtId="0" fontId="40" fillId="0" borderId="9" xfId="0" applyFont="1" applyFill="1" applyBorder="1" applyAlignment="1" applyProtection="1">
      <alignment horizontal="center" vertical="center" wrapText="1"/>
      <protection hidden="1"/>
    </xf>
    <xf numFmtId="49" fontId="9" fillId="0" borderId="0" xfId="0" applyNumberFormat="1" applyFont="1" applyAlignment="1" applyProtection="1">
      <alignment horizontal="center" vertical="top"/>
      <protection hidden="1"/>
    </xf>
    <xf numFmtId="0" fontId="39" fillId="0" borderId="9" xfId="0" applyFont="1" applyBorder="1" applyAlignment="1" applyProtection="1">
      <alignment horizontal="center" vertical="center" wrapText="1"/>
      <protection hidden="1"/>
    </xf>
    <xf numFmtId="0" fontId="39" fillId="0" borderId="80" xfId="0" applyFont="1" applyBorder="1" applyAlignment="1" applyProtection="1">
      <alignment horizontal="center" vertical="center" wrapText="1"/>
      <protection hidden="1"/>
    </xf>
    <xf numFmtId="0" fontId="9" fillId="0" borderId="0" xfId="0" applyNumberFormat="1" applyFont="1" applyAlignment="1" applyProtection="1">
      <alignment vertical="top"/>
      <protection hidden="1"/>
    </xf>
    <xf numFmtId="0" fontId="39" fillId="0" borderId="79" xfId="0" applyFont="1" applyFill="1" applyBorder="1" applyAlignment="1" applyProtection="1">
      <alignment horizontal="center" vertical="center" wrapText="1"/>
      <protection hidden="1"/>
    </xf>
    <xf numFmtId="0" fontId="44" fillId="0" borderId="2" xfId="0" applyFont="1" applyBorder="1" applyAlignment="1" applyProtection="1">
      <alignment horizontal="center" vertical="center" wrapText="1"/>
      <protection locked="0"/>
    </xf>
    <xf numFmtId="0" fontId="44" fillId="0" borderId="3" xfId="0" applyFont="1" applyFill="1" applyBorder="1" applyAlignment="1" applyProtection="1">
      <alignment horizontal="center" vertical="center" wrapText="1"/>
      <protection locked="0"/>
    </xf>
    <xf numFmtId="0" fontId="44" fillId="0" borderId="3" xfId="0" applyFont="1" applyBorder="1" applyAlignment="1" applyProtection="1">
      <alignment horizontal="center" vertical="center" wrapText="1"/>
      <protection locked="0"/>
    </xf>
    <xf numFmtId="0" fontId="44" fillId="0" borderId="4" xfId="0" applyFont="1" applyBorder="1" applyAlignment="1" applyProtection="1">
      <alignment horizontal="center" vertical="center" wrapText="1"/>
      <protection locked="0"/>
    </xf>
    <xf numFmtId="0" fontId="44" fillId="0" borderId="2" xfId="0" applyFont="1" applyFill="1" applyBorder="1" applyAlignment="1" applyProtection="1">
      <alignment horizontal="center" vertical="center" wrapText="1"/>
      <protection locked="0"/>
    </xf>
    <xf numFmtId="0" fontId="20" fillId="2" borderId="82" xfId="2" applyFont="1" applyFill="1" applyBorder="1" applyAlignment="1" applyProtection="1">
      <alignment horizontal="center" vertical="center"/>
    </xf>
    <xf numFmtId="0" fontId="20" fillId="2" borderId="82" xfId="2" applyFont="1" applyFill="1" applyBorder="1" applyAlignment="1" applyProtection="1">
      <alignment horizontal="center" vertical="center" wrapText="1"/>
    </xf>
    <xf numFmtId="0" fontId="2" fillId="0" borderId="2" xfId="0" applyFont="1" applyBorder="1" applyAlignment="1" applyProtection="1">
      <alignment horizontal="left" vertical="center" wrapText="1"/>
      <protection hidden="1"/>
    </xf>
    <xf numFmtId="0" fontId="0" fillId="0" borderId="2" xfId="0" applyBorder="1" applyAlignment="1" applyProtection="1">
      <alignment horizontal="center" vertical="center"/>
      <protection hidden="1"/>
    </xf>
    <xf numFmtId="0" fontId="41" fillId="0" borderId="84" xfId="0" applyFont="1" applyFill="1" applyBorder="1" applyAlignment="1" applyProtection="1">
      <alignment vertical="center" wrapText="1"/>
      <protection hidden="1"/>
    </xf>
    <xf numFmtId="0" fontId="2" fillId="0" borderId="3" xfId="0" applyFont="1" applyBorder="1" applyAlignment="1" applyProtection="1">
      <alignment horizontal="left" vertical="center" wrapText="1"/>
      <protection hidden="1"/>
    </xf>
    <xf numFmtId="0" fontId="0" fillId="0" borderId="3" xfId="0" applyBorder="1" applyAlignment="1" applyProtection="1">
      <alignment horizontal="center" vertical="center"/>
      <protection hidden="1"/>
    </xf>
    <xf numFmtId="0" fontId="41" fillId="0" borderId="85" xfId="0" applyFont="1" applyFill="1" applyBorder="1" applyAlignment="1" applyProtection="1">
      <alignment vertical="center" wrapText="1"/>
      <protection hidden="1"/>
    </xf>
    <xf numFmtId="0" fontId="2" fillId="0" borderId="4" xfId="0" applyFont="1" applyBorder="1" applyAlignment="1" applyProtection="1">
      <alignment horizontal="left" vertical="center" wrapText="1"/>
      <protection hidden="1"/>
    </xf>
    <xf numFmtId="0" fontId="0" fillId="0" borderId="4" xfId="0" applyBorder="1" applyAlignment="1" applyProtection="1">
      <alignment horizontal="center" vertical="center"/>
      <protection hidden="1"/>
    </xf>
    <xf numFmtId="0" fontId="41" fillId="0" borderId="86" xfId="0" applyFont="1" applyFill="1" applyBorder="1" applyAlignment="1" applyProtection="1">
      <alignment vertical="center" wrapText="1"/>
      <protection hidden="1"/>
    </xf>
    <xf numFmtId="0" fontId="2" fillId="0" borderId="7" xfId="0" applyFont="1" applyBorder="1" applyAlignment="1" applyProtection="1">
      <alignment horizontal="left" vertical="center" wrapText="1"/>
      <protection hidden="1"/>
    </xf>
    <xf numFmtId="0" fontId="0" fillId="0" borderId="7" xfId="0" applyBorder="1" applyAlignment="1" applyProtection="1">
      <alignment horizontal="center" vertical="center"/>
      <protection hidden="1"/>
    </xf>
    <xf numFmtId="0" fontId="41" fillId="0" borderId="5" xfId="0" applyFont="1" applyFill="1" applyBorder="1" applyAlignment="1" applyProtection="1">
      <alignment vertical="center" wrapText="1"/>
      <protection hidden="1"/>
    </xf>
    <xf numFmtId="0" fontId="2" fillId="0" borderId="6" xfId="0" applyFont="1" applyBorder="1" applyAlignment="1" applyProtection="1">
      <alignment horizontal="left" vertical="center" wrapText="1"/>
      <protection hidden="1"/>
    </xf>
    <xf numFmtId="0" fontId="0" fillId="0" borderId="6" xfId="0" applyBorder="1" applyAlignment="1" applyProtection="1">
      <alignment horizontal="center" vertical="center"/>
      <protection hidden="1"/>
    </xf>
    <xf numFmtId="0" fontId="41" fillId="0" borderId="6" xfId="0" applyFont="1" applyFill="1" applyBorder="1" applyAlignment="1" applyProtection="1">
      <alignment vertical="center" wrapText="1"/>
      <protection hidden="1"/>
    </xf>
    <xf numFmtId="0" fontId="41" fillId="0" borderId="3" xfId="0" applyFont="1" applyFill="1" applyBorder="1" applyAlignment="1" applyProtection="1">
      <alignment vertical="center" wrapText="1"/>
      <protection hidden="1"/>
    </xf>
    <xf numFmtId="0" fontId="41" fillId="0" borderId="7" xfId="0" applyFont="1" applyFill="1" applyBorder="1" applyAlignment="1" applyProtection="1">
      <alignment vertical="center" wrapText="1"/>
      <protection hidden="1"/>
    </xf>
    <xf numFmtId="0" fontId="49" fillId="0" borderId="22" xfId="0" applyFont="1" applyBorder="1" applyAlignment="1" applyProtection="1">
      <alignment horizontal="center" vertical="center"/>
      <protection hidden="1"/>
    </xf>
    <xf numFmtId="9" fontId="0" fillId="0" borderId="90" xfId="0" applyNumberFormat="1" applyBorder="1" applyAlignment="1" applyProtection="1">
      <alignment horizontal="center" vertical="center"/>
      <protection hidden="1"/>
    </xf>
    <xf numFmtId="9" fontId="0" fillId="0" borderId="91" xfId="0" applyNumberFormat="1" applyBorder="1" applyAlignment="1" applyProtection="1">
      <alignment horizontal="center" vertical="center"/>
      <protection hidden="1"/>
    </xf>
    <xf numFmtId="9" fontId="0" fillId="0" borderId="92" xfId="0" applyNumberFormat="1" applyBorder="1" applyAlignment="1" applyProtection="1">
      <alignment horizontal="center" vertical="center"/>
      <protection hidden="1"/>
    </xf>
    <xf numFmtId="9" fontId="0" fillId="0" borderId="93" xfId="0" applyNumberFormat="1" applyBorder="1" applyAlignment="1" applyProtection="1">
      <alignment horizontal="center" vertical="center"/>
      <protection hidden="1"/>
    </xf>
    <xf numFmtId="9" fontId="0" fillId="0" borderId="6" xfId="0" applyNumberFormat="1" applyBorder="1" applyAlignment="1" applyProtection="1">
      <alignment horizontal="center" vertical="center"/>
      <protection hidden="1"/>
    </xf>
    <xf numFmtId="9" fontId="0" fillId="0" borderId="3" xfId="0" applyNumberFormat="1" applyBorder="1" applyAlignment="1" applyProtection="1">
      <alignment horizontal="center" vertical="center"/>
      <protection hidden="1"/>
    </xf>
    <xf numFmtId="9" fontId="0" fillId="0" borderId="7" xfId="0" applyNumberFormat="1" applyBorder="1" applyAlignment="1" applyProtection="1">
      <alignment horizontal="center" vertical="center"/>
      <protection hidden="1"/>
    </xf>
    <xf numFmtId="9" fontId="43" fillId="2" borderId="26" xfId="0" applyNumberFormat="1" applyFont="1" applyFill="1" applyBorder="1" applyAlignment="1" applyProtection="1">
      <alignment horizontal="center" vertical="center"/>
      <protection hidden="1"/>
    </xf>
    <xf numFmtId="0" fontId="43" fillId="0" borderId="3" xfId="0" applyFont="1" applyFill="1" applyBorder="1" applyAlignment="1" applyProtection="1">
      <alignment horizontal="center" vertical="center"/>
      <protection hidden="1"/>
    </xf>
    <xf numFmtId="9" fontId="15" fillId="14" borderId="3" xfId="0" applyNumberFormat="1" applyFont="1" applyFill="1" applyBorder="1" applyAlignment="1" applyProtection="1">
      <alignment horizontal="center" vertical="center"/>
      <protection hidden="1"/>
    </xf>
    <xf numFmtId="49" fontId="56" fillId="4" borderId="2" xfId="0" applyNumberFormat="1" applyFont="1" applyFill="1" applyBorder="1" applyAlignment="1" applyProtection="1">
      <alignment horizontal="center" vertical="center" wrapText="1"/>
      <protection locked="0"/>
    </xf>
    <xf numFmtId="49" fontId="56" fillId="4" borderId="3" xfId="0" applyNumberFormat="1" applyFont="1" applyFill="1" applyBorder="1" applyAlignment="1" applyProtection="1">
      <alignment horizontal="center" vertical="center" wrapText="1"/>
      <protection locked="0"/>
    </xf>
    <xf numFmtId="49" fontId="56" fillId="4" borderId="4" xfId="0" applyNumberFormat="1" applyFont="1" applyFill="1" applyBorder="1" applyAlignment="1" applyProtection="1">
      <alignment horizontal="center" vertical="center" wrapText="1"/>
      <protection locked="0"/>
    </xf>
    <xf numFmtId="49" fontId="19" fillId="5" borderId="7" xfId="0" applyNumberFormat="1" applyFont="1" applyFill="1" applyBorder="1" applyAlignment="1" applyProtection="1">
      <alignment horizontal="center" vertical="center" wrapText="1"/>
      <protection hidden="1"/>
    </xf>
    <xf numFmtId="0" fontId="19" fillId="5" borderId="7" xfId="0" applyFont="1" applyFill="1" applyBorder="1" applyAlignment="1" applyProtection="1">
      <alignment horizontal="center" vertical="center" wrapText="1"/>
      <protection hidden="1"/>
    </xf>
    <xf numFmtId="0" fontId="19" fillId="5" borderId="10" xfId="0" applyFont="1" applyFill="1" applyBorder="1" applyAlignment="1" applyProtection="1">
      <alignment horizontal="center" vertical="center" wrapText="1"/>
      <protection hidden="1"/>
    </xf>
    <xf numFmtId="0" fontId="19" fillId="5" borderId="81" xfId="0" applyFont="1" applyFill="1" applyBorder="1" applyAlignment="1" applyProtection="1">
      <alignment horizontal="center" vertical="center" wrapText="1"/>
      <protection hidden="1"/>
    </xf>
    <xf numFmtId="0" fontId="0" fillId="0" borderId="0" xfId="0" applyProtection="1">
      <protection hidden="1"/>
    </xf>
    <xf numFmtId="9" fontId="0" fillId="0" borderId="0" xfId="1" applyFont="1" applyProtection="1">
      <protection hidden="1"/>
    </xf>
    <xf numFmtId="10" fontId="0" fillId="0" borderId="0" xfId="1" applyNumberFormat="1" applyFont="1" applyProtection="1">
      <protection hidden="1"/>
    </xf>
    <xf numFmtId="0" fontId="48" fillId="4" borderId="0" xfId="0" applyFont="1" applyFill="1"/>
    <xf numFmtId="0" fontId="19" fillId="5" borderId="5" xfId="0" applyFont="1" applyFill="1" applyBorder="1" applyAlignment="1">
      <alignment horizontal="center" vertical="center" wrapText="1"/>
    </xf>
    <xf numFmtId="0" fontId="47" fillId="0" borderId="79" xfId="0" applyFont="1" applyFill="1" applyBorder="1" applyAlignment="1" applyProtection="1">
      <alignment horizontal="left" vertical="center" wrapText="1"/>
      <protection locked="0"/>
    </xf>
    <xf numFmtId="0" fontId="47" fillId="0" borderId="9" xfId="0" applyFont="1" applyBorder="1" applyAlignment="1" applyProtection="1">
      <alignment horizontal="left" vertical="center" wrapText="1"/>
      <protection locked="0"/>
    </xf>
    <xf numFmtId="0" fontId="47" fillId="0" borderId="80" xfId="0" applyFont="1" applyBorder="1" applyAlignment="1" applyProtection="1">
      <alignment horizontal="left" vertical="center" wrapText="1"/>
      <protection locked="0"/>
    </xf>
    <xf numFmtId="0" fontId="47" fillId="0" borderId="79" xfId="0" applyFont="1" applyBorder="1" applyAlignment="1" applyProtection="1">
      <alignment horizontal="left" vertical="center" wrapText="1"/>
      <protection locked="0"/>
    </xf>
    <xf numFmtId="0" fontId="48" fillId="0" borderId="0" xfId="0" applyFont="1"/>
    <xf numFmtId="0" fontId="48" fillId="0" borderId="9" xfId="0" applyFont="1" applyFill="1" applyBorder="1" applyAlignment="1" applyProtection="1">
      <alignment horizontal="left" vertical="center" wrapText="1"/>
      <protection locked="0"/>
    </xf>
    <xf numFmtId="49" fontId="45" fillId="9" borderId="14" xfId="0" applyNumberFormat="1" applyFont="1" applyFill="1" applyBorder="1" applyAlignment="1">
      <alignment horizontal="center" vertical="center" wrapText="1"/>
    </xf>
    <xf numFmtId="49" fontId="45" fillId="9" borderId="11" xfId="0" applyNumberFormat="1" applyFont="1" applyFill="1" applyBorder="1" applyAlignment="1">
      <alignment horizontal="center" vertical="center" wrapText="1"/>
    </xf>
    <xf numFmtId="0" fontId="27" fillId="4" borderId="59" xfId="3" applyFont="1" applyFill="1" applyBorder="1" applyAlignment="1" applyProtection="1">
      <alignment horizontal="left" vertical="top" wrapText="1"/>
    </xf>
    <xf numFmtId="0" fontId="27" fillId="4" borderId="0" xfId="3" applyFont="1" applyFill="1" applyBorder="1" applyAlignment="1" applyProtection="1">
      <alignment horizontal="left" vertical="top" wrapText="1"/>
    </xf>
    <xf numFmtId="0" fontId="27" fillId="4" borderId="60" xfId="3" applyFont="1" applyFill="1" applyBorder="1" applyAlignment="1" applyProtection="1">
      <alignment horizontal="left" vertical="top" wrapText="1"/>
    </xf>
    <xf numFmtId="0" fontId="27" fillId="4" borderId="0" xfId="3" applyFont="1" applyFill="1" applyBorder="1" applyAlignment="1" applyProtection="1"/>
    <xf numFmtId="0" fontId="35" fillId="4" borderId="77" xfId="0" applyFont="1" applyFill="1" applyBorder="1" applyAlignment="1" applyProtection="1">
      <alignment horizontal="left" vertical="center" wrapText="1"/>
    </xf>
    <xf numFmtId="0" fontId="35" fillId="4" borderId="78" xfId="0" applyFont="1" applyFill="1" applyBorder="1" applyAlignment="1" applyProtection="1">
      <alignment horizontal="left" vertical="center" wrapText="1"/>
    </xf>
    <xf numFmtId="0" fontId="36" fillId="0" borderId="69" xfId="3" applyFont="1" applyFill="1" applyBorder="1" applyAlignment="1" applyProtection="1">
      <alignment horizontal="left" vertical="center" wrapText="1"/>
    </xf>
    <xf numFmtId="0" fontId="36" fillId="0" borderId="70" xfId="3" applyFont="1" applyFill="1" applyBorder="1" applyAlignment="1" applyProtection="1">
      <alignment horizontal="left" vertical="center" wrapText="1"/>
    </xf>
    <xf numFmtId="0" fontId="18" fillId="2" borderId="44" xfId="2" applyNumberFormat="1" applyFont="1" applyFill="1" applyBorder="1" applyAlignment="1" applyProtection="1">
      <alignment horizontal="center" vertical="center" wrapText="1"/>
    </xf>
    <xf numFmtId="0" fontId="18" fillId="2" borderId="45" xfId="2" applyNumberFormat="1" applyFont="1" applyFill="1" applyBorder="1" applyAlignment="1" applyProtection="1">
      <alignment horizontal="center" vertical="center" wrapText="1"/>
    </xf>
    <xf numFmtId="0" fontId="26" fillId="7" borderId="50" xfId="2" applyNumberFormat="1" applyFont="1" applyFill="1" applyBorder="1" applyAlignment="1" applyProtection="1">
      <alignment horizontal="center" vertical="center"/>
    </xf>
    <xf numFmtId="0" fontId="26" fillId="7" borderId="51" xfId="2" applyNumberFormat="1" applyFont="1" applyFill="1" applyBorder="1" applyAlignment="1" applyProtection="1">
      <alignment horizontal="center" vertical="center"/>
    </xf>
    <xf numFmtId="0" fontId="27" fillId="0" borderId="56" xfId="2" applyFont="1" applyFill="1" applyBorder="1" applyAlignment="1" applyProtection="1">
      <alignment horizontal="justify" vertical="center" wrapText="1"/>
    </xf>
    <xf numFmtId="0" fontId="27" fillId="0" borderId="57" xfId="2" applyFont="1" applyFill="1" applyBorder="1" applyAlignment="1" applyProtection="1">
      <alignment horizontal="justify" vertical="center" wrapText="1"/>
    </xf>
    <xf numFmtId="0" fontId="26" fillId="8" borderId="52" xfId="2" applyNumberFormat="1" applyFont="1" applyFill="1" applyBorder="1" applyAlignment="1" applyProtection="1">
      <alignment horizontal="center" vertical="center" wrapText="1"/>
    </xf>
    <xf numFmtId="0" fontId="26" fillId="8" borderId="53" xfId="2" applyNumberFormat="1" applyFont="1" applyFill="1" applyBorder="1" applyAlignment="1" applyProtection="1">
      <alignment horizontal="center" vertical="center"/>
    </xf>
    <xf numFmtId="0" fontId="27" fillId="0" borderId="53" xfId="2" applyFont="1" applyFill="1" applyBorder="1" applyAlignment="1" applyProtection="1">
      <alignment horizontal="justify" vertical="center" wrapText="1"/>
    </xf>
    <xf numFmtId="0" fontId="27" fillId="0" borderId="54" xfId="2" applyFont="1" applyFill="1" applyBorder="1" applyAlignment="1" applyProtection="1">
      <alignment horizontal="justify" vertical="center" wrapText="1"/>
    </xf>
    <xf numFmtId="0" fontId="38" fillId="4" borderId="71" xfId="2" applyNumberFormat="1" applyFont="1" applyFill="1" applyBorder="1" applyAlignment="1" applyProtection="1">
      <alignment horizontal="center" vertical="center" wrapText="1"/>
    </xf>
    <xf numFmtId="0" fontId="25" fillId="4" borderId="71" xfId="2" applyFont="1" applyFill="1" applyBorder="1" applyAlignment="1" applyProtection="1">
      <alignment horizontal="center" vertical="center" wrapText="1"/>
    </xf>
    <xf numFmtId="0" fontId="18" fillId="2" borderId="46" xfId="2" applyNumberFormat="1" applyFont="1" applyFill="1" applyBorder="1" applyAlignment="1" applyProtection="1">
      <alignment horizontal="center" vertical="center" wrapText="1"/>
    </xf>
    <xf numFmtId="0" fontId="26" fillId="14" borderId="47" xfId="2" applyNumberFormat="1" applyFont="1" applyFill="1" applyBorder="1" applyAlignment="1" applyProtection="1">
      <alignment horizontal="center" vertical="center"/>
    </xf>
    <xf numFmtId="0" fontId="26" fillId="14" borderId="48" xfId="2" applyNumberFormat="1" applyFont="1" applyFill="1" applyBorder="1" applyAlignment="1" applyProtection="1">
      <alignment horizontal="center" vertical="center"/>
    </xf>
    <xf numFmtId="0" fontId="27" fillId="0" borderId="48" xfId="2" applyFont="1" applyFill="1" applyBorder="1" applyAlignment="1" applyProtection="1">
      <alignment horizontal="justify" vertical="center" wrapText="1"/>
    </xf>
    <xf numFmtId="0" fontId="27" fillId="0" borderId="49" xfId="2" applyFont="1" applyFill="1" applyBorder="1" applyAlignment="1" applyProtection="1">
      <alignment horizontal="justify" vertical="center" wrapText="1"/>
    </xf>
    <xf numFmtId="0" fontId="35" fillId="4" borderId="75" xfId="4" applyFont="1" applyFill="1" applyBorder="1" applyAlignment="1" applyProtection="1">
      <alignment horizontal="left" vertical="center" wrapText="1" readingOrder="1"/>
    </xf>
    <xf numFmtId="0" fontId="35" fillId="4" borderId="76" xfId="4" applyFont="1" applyFill="1" applyBorder="1" applyAlignment="1" applyProtection="1">
      <alignment horizontal="left" vertical="center" wrapText="1" readingOrder="1"/>
    </xf>
    <xf numFmtId="0" fontId="36" fillId="0" borderId="65" xfId="3" applyFont="1" applyFill="1" applyBorder="1" applyAlignment="1" applyProtection="1">
      <alignment horizontal="left" vertical="center" wrapText="1"/>
    </xf>
    <xf numFmtId="0" fontId="36" fillId="0" borderId="66" xfId="3" applyFont="1" applyFill="1" applyBorder="1" applyAlignment="1" applyProtection="1">
      <alignment horizontal="left" vertical="center" wrapText="1"/>
    </xf>
    <xf numFmtId="0" fontId="35" fillId="4" borderId="67" xfId="0" applyFont="1" applyFill="1" applyBorder="1" applyAlignment="1" applyProtection="1">
      <alignment horizontal="left" vertical="center" wrapText="1"/>
    </xf>
    <xf numFmtId="0" fontId="35" fillId="4" borderId="68" xfId="0" applyFont="1" applyFill="1" applyBorder="1" applyAlignment="1" applyProtection="1">
      <alignment horizontal="left" vertical="center" wrapText="1"/>
    </xf>
    <xf numFmtId="0" fontId="36" fillId="0" borderId="69" xfId="3" applyFont="1" applyFill="1" applyBorder="1" applyAlignment="1" applyProtection="1">
      <alignment horizontal="left" vertical="top" wrapText="1"/>
    </xf>
    <xf numFmtId="0" fontId="36" fillId="0" borderId="70" xfId="3" applyFont="1" applyFill="1" applyBorder="1" applyAlignment="1" applyProtection="1">
      <alignment horizontal="left" vertical="top" wrapText="1"/>
    </xf>
    <xf numFmtId="0" fontId="31" fillId="0" borderId="58" xfId="3" applyFont="1" applyBorder="1" applyAlignment="1" applyProtection="1">
      <alignment horizontal="center" vertical="center" wrapText="1"/>
    </xf>
    <xf numFmtId="0" fontId="31" fillId="0" borderId="55" xfId="3" applyFont="1" applyBorder="1" applyAlignment="1" applyProtection="1">
      <alignment horizontal="center" vertical="center" wrapText="1"/>
    </xf>
    <xf numFmtId="0" fontId="31" fillId="0" borderId="8" xfId="3" applyFont="1" applyBorder="1" applyAlignment="1" applyProtection="1">
      <alignment horizontal="center" vertical="center" wrapText="1"/>
    </xf>
    <xf numFmtId="0" fontId="27" fillId="0" borderId="59" xfId="3" quotePrefix="1" applyFont="1" applyBorder="1" applyAlignment="1" applyProtection="1">
      <alignment horizontal="left" vertical="center" wrapText="1"/>
    </xf>
    <xf numFmtId="0" fontId="27" fillId="0" borderId="0" xfId="3" quotePrefix="1" applyFont="1" applyBorder="1" applyAlignment="1" applyProtection="1">
      <alignment horizontal="left" vertical="center" wrapText="1"/>
    </xf>
    <xf numFmtId="0" fontId="27" fillId="0" borderId="60" xfId="3" quotePrefix="1" applyFont="1" applyBorder="1" applyAlignment="1" applyProtection="1">
      <alignment horizontal="left" vertical="center" wrapText="1"/>
    </xf>
    <xf numFmtId="0" fontId="32" fillId="4" borderId="59" xfId="3" quotePrefix="1" applyFont="1" applyFill="1" applyBorder="1" applyAlignment="1" applyProtection="1">
      <alignment horizontal="left" vertical="top" wrapText="1"/>
    </xf>
    <xf numFmtId="0" fontId="26" fillId="4" borderId="0" xfId="3" quotePrefix="1" applyFont="1" applyFill="1" applyBorder="1" applyAlignment="1" applyProtection="1">
      <alignment horizontal="left" vertical="top" wrapText="1"/>
    </xf>
    <xf numFmtId="0" fontId="26" fillId="4" borderId="60" xfId="3" quotePrefix="1" applyFont="1" applyFill="1" applyBorder="1" applyAlignment="1" applyProtection="1">
      <alignment horizontal="left" vertical="top" wrapText="1"/>
    </xf>
    <xf numFmtId="0" fontId="27" fillId="4" borderId="59" xfId="3" quotePrefix="1" applyFont="1" applyFill="1" applyBorder="1" applyAlignment="1" applyProtection="1">
      <alignment horizontal="left" vertical="top" wrapText="1"/>
    </xf>
    <xf numFmtId="0" fontId="27" fillId="4" borderId="0" xfId="3" quotePrefix="1" applyFont="1" applyFill="1" applyBorder="1" applyAlignment="1" applyProtection="1">
      <alignment horizontal="left" vertical="top" wrapText="1"/>
    </xf>
    <xf numFmtId="0" fontId="27" fillId="4" borderId="60" xfId="3" quotePrefix="1" applyFont="1" applyFill="1" applyBorder="1" applyAlignment="1" applyProtection="1">
      <alignment horizontal="left" vertical="top" wrapText="1"/>
    </xf>
    <xf numFmtId="0" fontId="35" fillId="16" borderId="61" xfId="4" applyFont="1" applyFill="1" applyBorder="1" applyAlignment="1" applyProtection="1">
      <alignment horizontal="center" vertical="center" wrapText="1"/>
    </xf>
    <xf numFmtId="0" fontId="35" fillId="16" borderId="62" xfId="4" applyFont="1" applyFill="1" applyBorder="1" applyAlignment="1" applyProtection="1">
      <alignment horizontal="center" vertical="center" wrapText="1"/>
    </xf>
    <xf numFmtId="0" fontId="35" fillId="16" borderId="63" xfId="3" applyFont="1" applyFill="1" applyBorder="1" applyAlignment="1" applyProtection="1">
      <alignment horizontal="center" vertical="center"/>
    </xf>
    <xf numFmtId="0" fontId="35" fillId="16" borderId="64" xfId="3" applyFont="1" applyFill="1" applyBorder="1" applyAlignment="1" applyProtection="1">
      <alignment horizontal="center" vertical="center"/>
    </xf>
    <xf numFmtId="49" fontId="46" fillId="5" borderId="0" xfId="0" applyNumberFormat="1" applyFont="1" applyFill="1" applyBorder="1" applyAlignment="1">
      <alignment horizontal="center" vertical="center"/>
    </xf>
    <xf numFmtId="0" fontId="45" fillId="11" borderId="11" xfId="0" applyFont="1" applyFill="1" applyBorder="1" applyAlignment="1">
      <alignment horizontal="center" vertical="center" wrapText="1"/>
    </xf>
    <xf numFmtId="0" fontId="45" fillId="11" borderId="12" xfId="0" applyFont="1" applyFill="1" applyBorder="1" applyAlignment="1">
      <alignment horizontal="center" vertical="center" wrapText="1"/>
    </xf>
    <xf numFmtId="0" fontId="45" fillId="11" borderId="13" xfId="0" applyFont="1" applyFill="1" applyBorder="1" applyAlignment="1">
      <alignment horizontal="center" vertical="center" wrapText="1"/>
    </xf>
    <xf numFmtId="49" fontId="45" fillId="11" borderId="14" xfId="0" applyNumberFormat="1" applyFont="1" applyFill="1" applyBorder="1" applyAlignment="1">
      <alignment horizontal="center" vertical="center" wrapText="1"/>
    </xf>
    <xf numFmtId="49" fontId="45" fillId="11" borderId="15" xfId="0" applyNumberFormat="1" applyFont="1" applyFill="1" applyBorder="1" applyAlignment="1">
      <alignment horizontal="center" vertical="center" wrapText="1"/>
    </xf>
    <xf numFmtId="49" fontId="45" fillId="11" borderId="16" xfId="0" applyNumberFormat="1" applyFont="1" applyFill="1" applyBorder="1" applyAlignment="1">
      <alignment horizontal="center" vertical="center" wrapText="1"/>
    </xf>
    <xf numFmtId="0" fontId="45" fillId="9" borderId="11" xfId="0" applyFont="1" applyFill="1" applyBorder="1" applyAlignment="1">
      <alignment horizontal="center" vertical="center" wrapText="1"/>
    </xf>
    <xf numFmtId="0" fontId="45" fillId="9" borderId="12" xfId="0" applyFont="1" applyFill="1" applyBorder="1" applyAlignment="1">
      <alignment horizontal="center" vertical="center" wrapText="1"/>
    </xf>
    <xf numFmtId="0" fontId="45" fillId="9" borderId="13" xfId="0" applyFont="1" applyFill="1" applyBorder="1" applyAlignment="1">
      <alignment horizontal="center" vertical="center" wrapText="1"/>
    </xf>
    <xf numFmtId="49" fontId="45" fillId="9" borderId="14" xfId="0" applyNumberFormat="1" applyFont="1" applyFill="1" applyBorder="1" applyAlignment="1">
      <alignment horizontal="center" vertical="center" wrapText="1"/>
    </xf>
    <xf numFmtId="49" fontId="45" fillId="9" borderId="15" xfId="0" applyNumberFormat="1" applyFont="1" applyFill="1" applyBorder="1" applyAlignment="1">
      <alignment horizontal="center" vertical="center" wrapText="1"/>
    </xf>
    <xf numFmtId="49" fontId="45" fillId="9" borderId="16" xfId="0" applyNumberFormat="1" applyFont="1" applyFill="1" applyBorder="1" applyAlignment="1">
      <alignment horizontal="center" vertical="center" wrapText="1"/>
    </xf>
    <xf numFmtId="0" fontId="45" fillId="6" borderId="11" xfId="0" applyFont="1" applyFill="1" applyBorder="1" applyAlignment="1">
      <alignment horizontal="center" vertical="center" wrapText="1"/>
    </xf>
    <xf numFmtId="0" fontId="45" fillId="6" borderId="12" xfId="0" applyFont="1" applyFill="1" applyBorder="1" applyAlignment="1">
      <alignment horizontal="center" vertical="center" wrapText="1"/>
    </xf>
    <xf numFmtId="0" fontId="45" fillId="6" borderId="13" xfId="0" applyFont="1" applyFill="1" applyBorder="1" applyAlignment="1">
      <alignment horizontal="center" vertical="center" wrapText="1"/>
    </xf>
    <xf numFmtId="49" fontId="9" fillId="6" borderId="14" xfId="0" applyNumberFormat="1" applyFont="1" applyFill="1" applyBorder="1" applyAlignment="1">
      <alignment horizontal="center" vertical="center" wrapText="1"/>
    </xf>
    <xf numFmtId="49" fontId="9" fillId="6" borderId="15" xfId="0" applyNumberFormat="1" applyFont="1" applyFill="1" applyBorder="1" applyAlignment="1">
      <alignment horizontal="center" vertical="center" wrapText="1"/>
    </xf>
    <xf numFmtId="49" fontId="9" fillId="6" borderId="16" xfId="0" applyNumberFormat="1" applyFont="1" applyFill="1" applyBorder="1" applyAlignment="1">
      <alignment horizontal="center" vertical="center" wrapText="1"/>
    </xf>
    <xf numFmtId="49" fontId="9" fillId="10" borderId="14" xfId="0" applyNumberFormat="1" applyFont="1" applyFill="1" applyBorder="1" applyAlignment="1">
      <alignment horizontal="center" vertical="center" wrapText="1"/>
    </xf>
    <xf numFmtId="49" fontId="9" fillId="10" borderId="15" xfId="0" applyNumberFormat="1" applyFont="1" applyFill="1" applyBorder="1" applyAlignment="1">
      <alignment horizontal="center" vertical="center" wrapText="1"/>
    </xf>
    <xf numFmtId="49" fontId="9" fillId="10" borderId="16" xfId="0" applyNumberFormat="1" applyFont="1" applyFill="1" applyBorder="1" applyAlignment="1">
      <alignment horizontal="center" vertical="center" wrapText="1"/>
    </xf>
    <xf numFmtId="0" fontId="45" fillId="10" borderId="11" xfId="0" applyFont="1" applyFill="1" applyBorder="1" applyAlignment="1">
      <alignment horizontal="center" vertical="center" wrapText="1"/>
    </xf>
    <xf numFmtId="0" fontId="45" fillId="10" borderId="12" xfId="0" applyFont="1" applyFill="1" applyBorder="1" applyAlignment="1">
      <alignment horizontal="center" vertical="center" wrapText="1"/>
    </xf>
    <xf numFmtId="0" fontId="45" fillId="10" borderId="13" xfId="0" applyFont="1" applyFill="1" applyBorder="1" applyAlignment="1">
      <alignment horizontal="center" vertical="center" wrapText="1"/>
    </xf>
    <xf numFmtId="0" fontId="45" fillId="9" borderId="6" xfId="0" applyFont="1" applyFill="1" applyBorder="1" applyAlignment="1">
      <alignment horizontal="center" vertical="center" wrapText="1"/>
    </xf>
    <xf numFmtId="49" fontId="45" fillId="6" borderId="11" xfId="0" applyNumberFormat="1" applyFont="1" applyFill="1" applyBorder="1" applyAlignment="1">
      <alignment horizontal="center" vertical="center" wrapText="1"/>
    </xf>
    <xf numFmtId="49" fontId="45" fillId="6" borderId="12" xfId="0" applyNumberFormat="1" applyFont="1" applyFill="1" applyBorder="1" applyAlignment="1">
      <alignment horizontal="center" vertical="center" wrapText="1"/>
    </xf>
    <xf numFmtId="49" fontId="45" fillId="6" borderId="13" xfId="0" applyNumberFormat="1" applyFont="1" applyFill="1" applyBorder="1" applyAlignment="1">
      <alignment horizontal="center" vertical="center" wrapText="1"/>
    </xf>
    <xf numFmtId="49" fontId="45" fillId="10" borderId="11" xfId="0" applyNumberFormat="1" applyFont="1" applyFill="1" applyBorder="1" applyAlignment="1">
      <alignment horizontal="center" vertical="center" wrapText="1"/>
    </xf>
    <xf numFmtId="49" fontId="45" fillId="10" borderId="12" xfId="0" applyNumberFormat="1" applyFont="1" applyFill="1" applyBorder="1" applyAlignment="1">
      <alignment horizontal="center" vertical="center" wrapText="1"/>
    </xf>
    <xf numFmtId="49" fontId="45" fillId="10" borderId="13" xfId="0" applyNumberFormat="1" applyFont="1" applyFill="1" applyBorder="1" applyAlignment="1">
      <alignment horizontal="center" vertical="center" wrapText="1"/>
    </xf>
    <xf numFmtId="49" fontId="45" fillId="2" borderId="11" xfId="0" applyNumberFormat="1" applyFont="1" applyFill="1" applyBorder="1" applyAlignment="1">
      <alignment horizontal="center" vertical="center" wrapText="1"/>
    </xf>
    <xf numFmtId="49" fontId="45" fillId="2" borderId="12" xfId="0" applyNumberFormat="1" applyFont="1" applyFill="1" applyBorder="1" applyAlignment="1">
      <alignment horizontal="center" vertical="center" wrapText="1"/>
    </xf>
    <xf numFmtId="49" fontId="45" fillId="2" borderId="13" xfId="0" applyNumberFormat="1" applyFont="1" applyFill="1" applyBorder="1" applyAlignment="1">
      <alignment horizontal="center" vertical="center" wrapText="1"/>
    </xf>
    <xf numFmtId="49" fontId="45" fillId="11" borderId="11" xfId="0" applyNumberFormat="1" applyFont="1" applyFill="1" applyBorder="1" applyAlignment="1">
      <alignment horizontal="center" vertical="center" wrapText="1"/>
    </xf>
    <xf numFmtId="49" fontId="45" fillId="11" borderId="12" xfId="0" applyNumberFormat="1" applyFont="1" applyFill="1" applyBorder="1" applyAlignment="1">
      <alignment horizontal="center" vertical="center" wrapText="1"/>
    </xf>
    <xf numFmtId="49" fontId="45" fillId="11" borderId="13" xfId="0" applyNumberFormat="1" applyFont="1" applyFill="1" applyBorder="1" applyAlignment="1">
      <alignment horizontal="center" vertical="center" wrapText="1"/>
    </xf>
    <xf numFmtId="49" fontId="45" fillId="9" borderId="11" xfId="0" applyNumberFormat="1" applyFont="1" applyFill="1" applyBorder="1" applyAlignment="1">
      <alignment horizontal="center" vertical="center" wrapText="1"/>
    </xf>
    <xf numFmtId="49" fontId="45" fillId="9" borderId="12" xfId="0" applyNumberFormat="1" applyFont="1" applyFill="1" applyBorder="1" applyAlignment="1">
      <alignment horizontal="center" vertical="center" wrapText="1"/>
    </xf>
    <xf numFmtId="49" fontId="45" fillId="9" borderId="13" xfId="0" applyNumberFormat="1" applyFont="1" applyFill="1" applyBorder="1" applyAlignment="1">
      <alignment horizontal="center" vertical="center" wrapText="1"/>
    </xf>
    <xf numFmtId="49" fontId="45" fillId="10" borderId="3" xfId="0" applyNumberFormat="1" applyFont="1" applyFill="1" applyBorder="1" applyAlignment="1">
      <alignment horizontal="center" vertical="center" wrapText="1"/>
    </xf>
    <xf numFmtId="0" fontId="45" fillId="10" borderId="3" xfId="0" applyFont="1" applyFill="1" applyBorder="1" applyAlignment="1">
      <alignment horizontal="center" vertical="center" wrapText="1"/>
    </xf>
    <xf numFmtId="49" fontId="45" fillId="10" borderId="15" xfId="0" applyNumberFormat="1" applyFont="1" applyFill="1" applyBorder="1" applyAlignment="1">
      <alignment horizontal="center" vertical="center" wrapText="1"/>
    </xf>
    <xf numFmtId="49" fontId="45" fillId="2" borderId="14" xfId="0" applyNumberFormat="1" applyFont="1" applyFill="1" applyBorder="1" applyAlignment="1">
      <alignment horizontal="center" vertical="center" wrapText="1"/>
    </xf>
    <xf numFmtId="49" fontId="45" fillId="2" borderId="15" xfId="0" applyNumberFormat="1" applyFont="1" applyFill="1" applyBorder="1" applyAlignment="1">
      <alignment horizontal="center" vertical="center" wrapText="1"/>
    </xf>
    <xf numFmtId="49" fontId="45" fillId="2" borderId="16" xfId="0" applyNumberFormat="1" applyFont="1" applyFill="1" applyBorder="1" applyAlignment="1">
      <alignment horizontal="center" vertical="center" wrapText="1"/>
    </xf>
    <xf numFmtId="0" fontId="45" fillId="2" borderId="11" xfId="0" applyFont="1" applyFill="1" applyBorder="1" applyAlignment="1">
      <alignment horizontal="center" vertical="center" wrapText="1"/>
    </xf>
    <xf numFmtId="0" fontId="45" fillId="2" borderId="12" xfId="0" applyFont="1" applyFill="1" applyBorder="1" applyAlignment="1">
      <alignment horizontal="center" vertical="center" wrapText="1"/>
    </xf>
    <xf numFmtId="0" fontId="45" fillId="2" borderId="13" xfId="0" applyFont="1" applyFill="1" applyBorder="1" applyAlignment="1">
      <alignment horizontal="center" vertical="center" wrapText="1"/>
    </xf>
    <xf numFmtId="0" fontId="7" fillId="2" borderId="24"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25" xfId="0" applyFont="1" applyFill="1" applyBorder="1" applyAlignment="1">
      <alignment horizontal="center" vertical="center"/>
    </xf>
    <xf numFmtId="0" fontId="20" fillId="3" borderId="32" xfId="2" applyFont="1" applyFill="1" applyBorder="1" applyAlignment="1" applyProtection="1">
      <alignment horizontal="center" vertical="center" wrapText="1"/>
    </xf>
    <xf numFmtId="0" fontId="20" fillId="3" borderId="33" xfId="2" applyFont="1" applyFill="1" applyBorder="1" applyAlignment="1" applyProtection="1">
      <alignment horizontal="center" vertical="center" wrapText="1"/>
    </xf>
    <xf numFmtId="0" fontId="24" fillId="6" borderId="14" xfId="0" applyFont="1" applyFill="1" applyBorder="1" applyAlignment="1">
      <alignment horizontal="center" vertical="center" textRotation="90" wrapText="1"/>
    </xf>
    <xf numFmtId="0" fontId="24" fillId="6" borderId="15" xfId="0" applyFont="1" applyFill="1" applyBorder="1" applyAlignment="1">
      <alignment horizontal="center" vertical="center" textRotation="90" wrapText="1"/>
    </xf>
    <xf numFmtId="0" fontId="24" fillId="6" borderId="16" xfId="0" applyFont="1" applyFill="1" applyBorder="1" applyAlignment="1">
      <alignment horizontal="center" vertical="center" textRotation="90" wrapText="1"/>
    </xf>
    <xf numFmtId="0" fontId="20" fillId="2" borderId="37" xfId="2" applyFont="1" applyFill="1" applyBorder="1" applyAlignment="1" applyProtection="1">
      <alignment horizontal="center" vertical="center" wrapText="1"/>
    </xf>
    <xf numFmtId="0" fontId="20" fillId="2" borderId="83" xfId="2" applyFont="1" applyFill="1" applyBorder="1" applyAlignment="1" applyProtection="1">
      <alignment horizontal="center" vertical="center" wrapText="1"/>
    </xf>
    <xf numFmtId="0" fontId="20" fillId="2" borderId="38" xfId="2" applyFont="1" applyFill="1" applyBorder="1" applyAlignment="1" applyProtection="1">
      <alignment horizontal="center" vertical="center" wrapText="1"/>
    </xf>
    <xf numFmtId="0" fontId="20" fillId="2" borderId="39" xfId="2" applyFont="1" applyFill="1" applyBorder="1" applyAlignment="1" applyProtection="1">
      <alignment horizontal="center" vertical="center" wrapText="1"/>
    </xf>
    <xf numFmtId="0" fontId="20" fillId="2" borderId="40" xfId="2" applyFont="1" applyFill="1" applyBorder="1" applyAlignment="1" applyProtection="1">
      <alignment horizontal="center" vertical="center" wrapText="1"/>
    </xf>
    <xf numFmtId="0" fontId="20" fillId="2" borderId="42" xfId="2" applyFont="1" applyFill="1" applyBorder="1" applyAlignment="1" applyProtection="1">
      <alignment horizontal="center" vertical="center" wrapText="1"/>
    </xf>
    <xf numFmtId="0" fontId="20" fillId="2" borderId="41" xfId="2" applyFont="1" applyFill="1" applyBorder="1" applyAlignment="1" applyProtection="1">
      <alignment horizontal="center" vertical="center" wrapText="1"/>
    </xf>
    <xf numFmtId="0" fontId="20" fillId="2" borderId="43" xfId="2" applyFont="1" applyFill="1" applyBorder="1" applyAlignment="1" applyProtection="1">
      <alignment horizontal="center" vertical="center" wrapText="1"/>
    </xf>
    <xf numFmtId="9" fontId="42" fillId="0" borderId="87" xfId="0" applyNumberFormat="1" applyFont="1" applyBorder="1" applyAlignment="1" applyProtection="1">
      <alignment horizontal="center" vertical="center"/>
      <protection hidden="1"/>
    </xf>
    <xf numFmtId="9" fontId="42" fillId="0" borderId="88" xfId="0" applyNumberFormat="1" applyFont="1" applyBorder="1" applyAlignment="1" applyProtection="1">
      <alignment horizontal="center" vertical="center"/>
      <protection hidden="1"/>
    </xf>
    <xf numFmtId="9" fontId="29" fillId="7" borderId="84" xfId="1" applyFont="1" applyFill="1" applyBorder="1" applyAlignment="1" applyProtection="1">
      <alignment horizontal="center" vertical="center"/>
      <protection hidden="1"/>
    </xf>
    <xf numFmtId="9" fontId="29" fillId="7" borderId="85" xfId="1" applyFont="1" applyFill="1" applyBorder="1" applyAlignment="1" applyProtection="1">
      <alignment horizontal="center" vertical="center"/>
      <protection hidden="1"/>
    </xf>
    <xf numFmtId="9" fontId="29" fillId="7" borderId="86" xfId="1" applyFont="1" applyFill="1" applyBorder="1" applyAlignment="1" applyProtection="1">
      <alignment horizontal="center" vertical="center"/>
      <protection hidden="1"/>
    </xf>
    <xf numFmtId="0" fontId="28" fillId="9" borderId="14" xfId="0" applyFont="1" applyFill="1" applyBorder="1" applyAlignment="1">
      <alignment horizontal="center" vertical="center" textRotation="90"/>
    </xf>
    <xf numFmtId="0" fontId="28" fillId="9" borderId="15" xfId="0" applyFont="1" applyFill="1" applyBorder="1" applyAlignment="1">
      <alignment horizontal="center" vertical="center" textRotation="90"/>
    </xf>
    <xf numFmtId="0" fontId="28" fillId="9" borderId="16" xfId="0" applyFont="1" applyFill="1" applyBorder="1" applyAlignment="1">
      <alignment horizontal="center" vertical="center" textRotation="90"/>
    </xf>
    <xf numFmtId="9" fontId="42" fillId="4" borderId="87" xfId="0" applyNumberFormat="1" applyFont="1" applyFill="1" applyBorder="1" applyAlignment="1" applyProtection="1">
      <alignment horizontal="center" vertical="center"/>
      <protection hidden="1"/>
    </xf>
    <xf numFmtId="9" fontId="42" fillId="4" borderId="88" xfId="0" applyNumberFormat="1" applyFont="1" applyFill="1" applyBorder="1" applyAlignment="1" applyProtection="1">
      <alignment horizontal="center" vertical="center"/>
      <protection hidden="1"/>
    </xf>
    <xf numFmtId="9" fontId="42" fillId="4" borderId="89" xfId="0" applyNumberFormat="1" applyFont="1" applyFill="1" applyBorder="1" applyAlignment="1" applyProtection="1">
      <alignment horizontal="center" vertical="center"/>
      <protection hidden="1"/>
    </xf>
    <xf numFmtId="0" fontId="28" fillId="11" borderId="15" xfId="0" applyFont="1" applyFill="1" applyBorder="1" applyAlignment="1">
      <alignment horizontal="center" vertical="center" textRotation="90"/>
    </xf>
    <xf numFmtId="0" fontId="28" fillId="2" borderId="14" xfId="0" applyFont="1" applyFill="1" applyBorder="1" applyAlignment="1">
      <alignment horizontal="center" vertical="center" textRotation="90"/>
    </xf>
    <xf numFmtId="0" fontId="28" fillId="2" borderId="15" xfId="0" applyFont="1" applyFill="1" applyBorder="1" applyAlignment="1">
      <alignment horizontal="center" vertical="center" textRotation="90"/>
    </xf>
    <xf numFmtId="0" fontId="28" fillId="2" borderId="16" xfId="0" applyFont="1" applyFill="1" applyBorder="1" applyAlignment="1">
      <alignment horizontal="center" vertical="center" textRotation="90"/>
    </xf>
    <xf numFmtId="9" fontId="42" fillId="0" borderId="89" xfId="0" applyNumberFormat="1" applyFont="1" applyBorder="1" applyAlignment="1" applyProtection="1">
      <alignment horizontal="center" vertical="center"/>
      <protection hidden="1"/>
    </xf>
    <xf numFmtId="0" fontId="28" fillId="10" borderId="14" xfId="0" applyFont="1" applyFill="1" applyBorder="1" applyAlignment="1">
      <alignment horizontal="center" vertical="center" textRotation="90"/>
    </xf>
    <xf numFmtId="0" fontId="28" fillId="10" borderId="15" xfId="0" applyFont="1" applyFill="1" applyBorder="1" applyAlignment="1">
      <alignment horizontal="center" vertical="center" textRotation="90"/>
    </xf>
    <xf numFmtId="0" fontId="0" fillId="0" borderId="24"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25" xfId="0" applyBorder="1" applyAlignment="1" applyProtection="1">
      <alignment horizontal="left" vertical="center" wrapText="1"/>
      <protection locked="0"/>
    </xf>
    <xf numFmtId="0" fontId="53" fillId="12" borderId="0" xfId="0" applyFont="1" applyFill="1" applyBorder="1" applyAlignment="1">
      <alignment horizontal="center" vertical="center" wrapText="1"/>
    </xf>
    <xf numFmtId="0" fontId="58" fillId="0" borderId="24" xfId="0" applyFont="1" applyFill="1" applyBorder="1" applyAlignment="1" applyProtection="1">
      <alignment horizontal="left" vertical="center" wrapText="1"/>
      <protection locked="0"/>
    </xf>
    <xf numFmtId="0" fontId="58" fillId="0" borderId="1" xfId="0" applyFont="1" applyFill="1" applyBorder="1" applyAlignment="1" applyProtection="1">
      <alignment horizontal="left" vertical="center" wrapText="1"/>
      <protection locked="0"/>
    </xf>
    <xf numFmtId="0" fontId="58" fillId="0" borderId="25" xfId="0" applyFont="1" applyFill="1" applyBorder="1" applyAlignment="1" applyProtection="1">
      <alignment horizontal="left" vertical="center" wrapText="1"/>
      <protection locked="0"/>
    </xf>
    <xf numFmtId="0" fontId="0" fillId="0" borderId="73" xfId="0" applyBorder="1" applyAlignment="1">
      <alignment horizontal="center"/>
    </xf>
    <xf numFmtId="0" fontId="0" fillId="0" borderId="1" xfId="0" applyBorder="1" applyAlignment="1">
      <alignment horizontal="center"/>
    </xf>
    <xf numFmtId="49" fontId="50" fillId="4" borderId="91" xfId="0" applyNumberFormat="1" applyFont="1" applyFill="1" applyBorder="1" applyAlignment="1">
      <alignment horizontal="left" vertical="center" wrapText="1"/>
    </xf>
    <xf numFmtId="49" fontId="50" fillId="4" borderId="3" xfId="0" applyNumberFormat="1" applyFont="1" applyFill="1" applyBorder="1" applyAlignment="1">
      <alignment horizontal="left" vertical="center" wrapText="1"/>
    </xf>
    <xf numFmtId="49" fontId="50" fillId="4" borderId="92" xfId="0" applyNumberFormat="1" applyFont="1" applyFill="1" applyBorder="1" applyAlignment="1">
      <alignment horizontal="left" vertical="center" wrapText="1"/>
    </xf>
    <xf numFmtId="49" fontId="50" fillId="4" borderId="4" xfId="0" applyNumberFormat="1" applyFont="1" applyFill="1" applyBorder="1" applyAlignment="1">
      <alignment horizontal="left" vertical="center" wrapText="1"/>
    </xf>
    <xf numFmtId="0" fontId="52" fillId="2" borderId="7" xfId="0" applyFont="1" applyFill="1" applyBorder="1" applyAlignment="1">
      <alignment horizontal="center" vertical="center" wrapText="1"/>
    </xf>
    <xf numFmtId="0" fontId="52" fillId="2" borderId="6" xfId="0" applyFont="1" applyFill="1" applyBorder="1" applyAlignment="1">
      <alignment horizontal="center" vertical="center" wrapText="1"/>
    </xf>
    <xf numFmtId="0" fontId="57" fillId="4" borderId="3" xfId="0" applyFont="1" applyFill="1" applyBorder="1" applyAlignment="1" applyProtection="1">
      <alignment horizontal="center" vertical="center"/>
      <protection locked="0"/>
    </xf>
    <xf numFmtId="164" fontId="57" fillId="4" borderId="22" xfId="0" applyNumberFormat="1" applyFont="1" applyFill="1" applyBorder="1" applyAlignment="1" applyProtection="1">
      <alignment horizontal="center" vertical="center"/>
      <protection locked="0"/>
    </xf>
    <xf numFmtId="164" fontId="57" fillId="4" borderId="23" xfId="0" applyNumberFormat="1" applyFont="1" applyFill="1" applyBorder="1" applyAlignment="1" applyProtection="1">
      <alignment horizontal="center" vertical="center"/>
      <protection locked="0"/>
    </xf>
    <xf numFmtId="164" fontId="57" fillId="4" borderId="9" xfId="0" applyNumberFormat="1" applyFont="1" applyFill="1" applyBorder="1" applyAlignment="1" applyProtection="1">
      <alignment horizontal="center" vertical="center"/>
      <protection locked="0"/>
    </xf>
    <xf numFmtId="0" fontId="53" fillId="2" borderId="24" xfId="0" applyFont="1" applyFill="1" applyBorder="1" applyAlignment="1">
      <alignment horizontal="center" vertical="center" wrapText="1"/>
    </xf>
    <xf numFmtId="0" fontId="53" fillId="2" borderId="1" xfId="0" applyFont="1" applyFill="1" applyBorder="1" applyAlignment="1">
      <alignment horizontal="center" vertical="center" wrapText="1"/>
    </xf>
    <xf numFmtId="0" fontId="53" fillId="2" borderId="25" xfId="0" applyFont="1" applyFill="1" applyBorder="1" applyAlignment="1">
      <alignment horizontal="center" vertical="center" wrapText="1"/>
    </xf>
    <xf numFmtId="0" fontId="10" fillId="2" borderId="27" xfId="0" applyFont="1" applyFill="1" applyBorder="1" applyAlignment="1">
      <alignment horizontal="center" vertical="center"/>
    </xf>
    <xf numFmtId="0" fontId="10" fillId="2" borderId="28" xfId="0" applyFont="1" applyFill="1" applyBorder="1" applyAlignment="1">
      <alignment horizontal="center" vertical="center"/>
    </xf>
    <xf numFmtId="0" fontId="10" fillId="2" borderId="29" xfId="0" applyFont="1" applyFill="1" applyBorder="1" applyAlignment="1">
      <alignment horizontal="center" vertical="center"/>
    </xf>
    <xf numFmtId="49" fontId="50" fillId="4" borderId="90" xfId="0" applyNumberFormat="1" applyFont="1" applyFill="1" applyBorder="1" applyAlignment="1">
      <alignment horizontal="left" vertical="center" wrapText="1"/>
    </xf>
    <xf numFmtId="49" fontId="50" fillId="4" borderId="2" xfId="0" applyNumberFormat="1" applyFont="1" applyFill="1" applyBorder="1" applyAlignment="1">
      <alignment horizontal="left" vertical="center" wrapText="1"/>
    </xf>
    <xf numFmtId="49" fontId="1" fillId="4" borderId="2" xfId="0" applyNumberFormat="1" applyFont="1" applyFill="1" applyBorder="1" applyAlignment="1" applyProtection="1">
      <alignment horizontal="left" vertical="top" wrapText="1"/>
      <protection locked="0"/>
    </xf>
    <xf numFmtId="49" fontId="59" fillId="4" borderId="2" xfId="0" applyNumberFormat="1" applyFont="1" applyFill="1" applyBorder="1" applyAlignment="1" applyProtection="1">
      <alignment horizontal="left" vertical="top" wrapText="1"/>
      <protection locked="0"/>
    </xf>
    <xf numFmtId="49" fontId="59" fillId="4" borderId="84" xfId="0" applyNumberFormat="1" applyFont="1" applyFill="1" applyBorder="1" applyAlignment="1" applyProtection="1">
      <alignment horizontal="left" vertical="top" wrapText="1"/>
      <protection locked="0"/>
    </xf>
    <xf numFmtId="49" fontId="1" fillId="4" borderId="3" xfId="0" applyNumberFormat="1" applyFont="1" applyFill="1" applyBorder="1" applyAlignment="1" applyProtection="1">
      <alignment horizontal="left" vertical="top" wrapText="1"/>
      <protection locked="0"/>
    </xf>
    <xf numFmtId="49" fontId="59" fillId="4" borderId="3" xfId="0" applyNumberFormat="1" applyFont="1" applyFill="1" applyBorder="1" applyAlignment="1" applyProtection="1">
      <alignment horizontal="left" vertical="top" wrapText="1"/>
      <protection locked="0"/>
    </xf>
    <xf numFmtId="49" fontId="59" fillId="4" borderId="85"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59" fillId="4" borderId="4" xfId="0" applyNumberFormat="1" applyFont="1" applyFill="1" applyBorder="1" applyAlignment="1" applyProtection="1">
      <alignment horizontal="left" vertical="top" wrapText="1"/>
      <protection locked="0"/>
    </xf>
    <xf numFmtId="49" fontId="59" fillId="4" borderId="86" xfId="0" applyNumberFormat="1" applyFont="1" applyFill="1" applyBorder="1" applyAlignment="1" applyProtection="1">
      <alignment horizontal="left" vertical="top" wrapText="1"/>
      <protection locked="0"/>
    </xf>
  </cellXfs>
  <cellStyles count="5">
    <cellStyle name="Normal" xfId="0" builtinId="0"/>
    <cellStyle name="Normal - Style1 2" xfId="3"/>
    <cellStyle name="Normal 2" xfId="2"/>
    <cellStyle name="Normal 2 2" xfId="4"/>
    <cellStyle name="Porcentaje" xfId="1" builtinId="5"/>
  </cellStyles>
  <dxfs count="20">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1050132</xdr:colOff>
      <xdr:row>0</xdr:row>
      <xdr:rowOff>66818</xdr:rowOff>
    </xdr:from>
    <xdr:to>
      <xdr:col>7</xdr:col>
      <xdr:colOff>726282</xdr:colOff>
      <xdr:row>11</xdr:row>
      <xdr:rowOff>47624</xdr:rowOff>
    </xdr:to>
    <xdr:pic>
      <xdr:nvPicPr>
        <xdr:cNvPr id="2" name="Imagen 1">
          <a:extLst>
            <a:ext uri="{FF2B5EF4-FFF2-40B4-BE49-F238E27FC236}">
              <a16:creationId xmlns:a16="http://schemas.microsoft.com/office/drawing/2014/main" xmlns="" id="{00000000-0008-0000-0600-000003000000}"/>
            </a:ext>
          </a:extLst>
        </xdr:cNvPr>
        <xdr:cNvPicPr>
          <a:picLocks noChangeAspect="1"/>
        </xdr:cNvPicPr>
      </xdr:nvPicPr>
      <xdr:blipFill>
        <a:blip xmlns:r="http://schemas.openxmlformats.org/officeDocument/2006/relationships" r:embed="rId1"/>
        <a:stretch>
          <a:fillRect/>
        </a:stretch>
      </xdr:blipFill>
      <xdr:spPr>
        <a:xfrm>
          <a:off x="7169945" y="66818"/>
          <a:ext cx="3676650" cy="23382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281667</xdr:colOff>
      <xdr:row>7</xdr:row>
      <xdr:rowOff>102768</xdr:rowOff>
    </xdr:from>
    <xdr:to>
      <xdr:col>6</xdr:col>
      <xdr:colOff>595313</xdr:colOff>
      <xdr:row>14</xdr:row>
      <xdr:rowOff>55289</xdr:rowOff>
    </xdr:to>
    <xdr:pic>
      <xdr:nvPicPr>
        <xdr:cNvPr id="4" name="Imagen 3">
          <a:extLst>
            <a:ext uri="{FF2B5EF4-FFF2-40B4-BE49-F238E27FC236}">
              <a16:creationId xmlns:a16="http://schemas.microsoft.com/office/drawing/2014/main" xmlns="" id="{00000000-0008-0000-0800-000003000000}"/>
            </a:ext>
          </a:extLst>
        </xdr:cNvPr>
        <xdr:cNvPicPr>
          <a:picLocks noChangeAspect="1"/>
        </xdr:cNvPicPr>
      </xdr:nvPicPr>
      <xdr:blipFill>
        <a:blip xmlns:r="http://schemas.openxmlformats.org/officeDocument/2006/relationships" r:embed="rId1"/>
        <a:stretch>
          <a:fillRect/>
        </a:stretch>
      </xdr:blipFill>
      <xdr:spPr>
        <a:xfrm>
          <a:off x="4567917" y="2037534"/>
          <a:ext cx="3959935" cy="23486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mejia/Library/Containers/com.microsoft.Excel/Data/Documents/C:/Users/dell/Desktop/cesar/HISTORICOS/2020-04-22_Formato_informe_sci_parametrizado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 de Resultad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topLeftCell="A5" zoomScale="90" zoomScaleNormal="90" workbookViewId="0">
      <selection activeCell="C14" sqref="C14"/>
    </sheetView>
  </sheetViews>
  <sheetFormatPr baseColWidth="10" defaultColWidth="0" defaultRowHeight="12.75" zeroHeight="1" x14ac:dyDescent="0.2"/>
  <cols>
    <col min="1" max="1" width="3.85546875" style="45" customWidth="1"/>
    <col min="2" max="2" width="15.28515625" style="45" customWidth="1"/>
    <col min="3" max="3" width="17.28515625" style="45" customWidth="1"/>
    <col min="4" max="4" width="28.42578125" style="45" customWidth="1"/>
    <col min="5" max="5" width="12.85546875" style="45" customWidth="1"/>
    <col min="6" max="6" width="47.140625" style="45" customWidth="1"/>
    <col min="7" max="7" width="21.42578125" style="45" customWidth="1"/>
    <col min="8" max="8" width="6.42578125" style="45" customWidth="1"/>
    <col min="9" max="9" width="2.42578125" style="45" customWidth="1"/>
    <col min="10" max="16384" width="11.42578125" style="45" hidden="1"/>
  </cols>
  <sheetData>
    <row r="1" spans="2:8" ht="14.1" thickBot="1" x14ac:dyDescent="0.2"/>
    <row r="2" spans="2:8" ht="73.5" customHeight="1" x14ac:dyDescent="0.2">
      <c r="B2" s="199" t="s">
        <v>0</v>
      </c>
      <c r="C2" s="200"/>
      <c r="D2" s="200"/>
      <c r="E2" s="200"/>
      <c r="F2" s="200"/>
      <c r="G2" s="200"/>
      <c r="H2" s="201"/>
    </row>
    <row r="3" spans="2:8" ht="65.25" customHeight="1" x14ac:dyDescent="0.2">
      <c r="B3" s="202" t="s">
        <v>1</v>
      </c>
      <c r="C3" s="203"/>
      <c r="D3" s="203"/>
      <c r="E3" s="203"/>
      <c r="F3" s="203"/>
      <c r="G3" s="203"/>
      <c r="H3" s="204"/>
    </row>
    <row r="4" spans="2:8" ht="82.5" customHeight="1" x14ac:dyDescent="0.2">
      <c r="B4" s="202"/>
      <c r="C4" s="203"/>
      <c r="D4" s="203"/>
      <c r="E4" s="203"/>
      <c r="F4" s="203"/>
      <c r="G4" s="203"/>
      <c r="H4" s="204"/>
    </row>
    <row r="5" spans="2:8" ht="21.75" customHeight="1" x14ac:dyDescent="0.15">
      <c r="B5" s="205" t="s">
        <v>2</v>
      </c>
      <c r="C5" s="206"/>
      <c r="D5" s="206"/>
      <c r="E5" s="206"/>
      <c r="F5" s="206"/>
      <c r="G5" s="206"/>
      <c r="H5" s="207"/>
    </row>
    <row r="6" spans="2:8" ht="42" customHeight="1" x14ac:dyDescent="0.2">
      <c r="B6" s="208" t="s">
        <v>3</v>
      </c>
      <c r="C6" s="209"/>
      <c r="D6" s="209"/>
      <c r="E6" s="209"/>
      <c r="F6" s="209"/>
      <c r="G6" s="209"/>
      <c r="H6" s="210"/>
    </row>
    <row r="7" spans="2:8" ht="14.25" customHeight="1" x14ac:dyDescent="0.2">
      <c r="B7" s="208"/>
      <c r="C7" s="209"/>
      <c r="D7" s="209"/>
      <c r="E7" s="209"/>
      <c r="F7" s="209"/>
      <c r="G7" s="209"/>
      <c r="H7" s="210"/>
    </row>
    <row r="8" spans="2:8" ht="12.75" customHeight="1" thickBot="1" x14ac:dyDescent="0.2">
      <c r="B8" s="57"/>
      <c r="C8" s="51"/>
      <c r="D8" s="67"/>
      <c r="E8" s="68"/>
      <c r="F8" s="68"/>
      <c r="G8" s="65"/>
      <c r="H8" s="66"/>
    </row>
    <row r="9" spans="2:8" ht="21" customHeight="1" thickTop="1" x14ac:dyDescent="0.2">
      <c r="B9" s="57"/>
      <c r="C9" s="211" t="s">
        <v>4</v>
      </c>
      <c r="D9" s="212"/>
      <c r="E9" s="213" t="s">
        <v>5</v>
      </c>
      <c r="F9" s="214"/>
      <c r="G9" s="51"/>
      <c r="H9" s="59"/>
    </row>
    <row r="10" spans="2:8" ht="37.5" customHeight="1" x14ac:dyDescent="0.15">
      <c r="B10" s="57"/>
      <c r="C10" s="191" t="s">
        <v>6</v>
      </c>
      <c r="D10" s="192"/>
      <c r="E10" s="193" t="s">
        <v>7</v>
      </c>
      <c r="F10" s="194"/>
      <c r="G10" s="51"/>
      <c r="H10" s="59"/>
    </row>
    <row r="11" spans="2:8" ht="39.75" customHeight="1" x14ac:dyDescent="0.15">
      <c r="B11" s="57"/>
      <c r="C11" s="195" t="s">
        <v>8</v>
      </c>
      <c r="D11" s="196"/>
      <c r="E11" s="172" t="s">
        <v>9</v>
      </c>
      <c r="F11" s="173"/>
      <c r="G11" s="51"/>
      <c r="H11" s="59"/>
    </row>
    <row r="12" spans="2:8" ht="59.25" customHeight="1" x14ac:dyDescent="0.2">
      <c r="B12" s="57"/>
      <c r="C12" s="195" t="s">
        <v>10</v>
      </c>
      <c r="D12" s="196"/>
      <c r="E12" s="197" t="s">
        <v>11</v>
      </c>
      <c r="F12" s="198"/>
      <c r="G12" s="51"/>
      <c r="H12" s="59"/>
    </row>
    <row r="13" spans="2:8" ht="33.75" customHeight="1" x14ac:dyDescent="0.2">
      <c r="B13" s="57"/>
      <c r="C13" s="170" t="s">
        <v>12</v>
      </c>
      <c r="D13" s="171"/>
      <c r="E13" s="172" t="s">
        <v>13</v>
      </c>
      <c r="F13" s="173"/>
      <c r="G13" s="51"/>
      <c r="H13" s="59"/>
    </row>
    <row r="14" spans="2:8" ht="19.5" customHeight="1" x14ac:dyDescent="0.15">
      <c r="B14" s="57"/>
      <c r="C14" s="63"/>
      <c r="D14" s="63"/>
      <c r="E14" s="64"/>
      <c r="F14" s="64"/>
      <c r="G14" s="51"/>
      <c r="H14" s="59"/>
    </row>
    <row r="15" spans="2:8" ht="37.5" customHeight="1" thickBot="1" x14ac:dyDescent="0.25">
      <c r="B15" s="166" t="s">
        <v>14</v>
      </c>
      <c r="C15" s="167"/>
      <c r="D15" s="167"/>
      <c r="E15" s="167"/>
      <c r="F15" s="167"/>
      <c r="G15" s="167"/>
      <c r="H15" s="168"/>
    </row>
    <row r="16" spans="2:8" ht="27.75" customHeight="1" thickBot="1" x14ac:dyDescent="0.25">
      <c r="B16" s="57"/>
      <c r="C16" s="174" t="s">
        <v>15</v>
      </c>
      <c r="D16" s="175"/>
      <c r="E16" s="175" t="s">
        <v>16</v>
      </c>
      <c r="F16" s="186"/>
      <c r="G16" s="51"/>
      <c r="H16" s="59"/>
    </row>
    <row r="17" spans="2:8" ht="27.75" customHeight="1" x14ac:dyDescent="0.15">
      <c r="B17" s="57"/>
      <c r="C17" s="187" t="s">
        <v>17</v>
      </c>
      <c r="D17" s="188"/>
      <c r="E17" s="189" t="s">
        <v>18</v>
      </c>
      <c r="F17" s="190"/>
      <c r="G17" s="100"/>
      <c r="H17" s="59"/>
    </row>
    <row r="18" spans="2:8" ht="41.25" customHeight="1" x14ac:dyDescent="0.15">
      <c r="B18" s="57"/>
      <c r="C18" s="176" t="s">
        <v>19</v>
      </c>
      <c r="D18" s="177"/>
      <c r="E18" s="178" t="s">
        <v>20</v>
      </c>
      <c r="F18" s="179"/>
      <c r="G18" s="101"/>
      <c r="H18" s="59"/>
    </row>
    <row r="19" spans="2:8" ht="37.5" customHeight="1" thickBot="1" x14ac:dyDescent="0.2">
      <c r="B19" s="57"/>
      <c r="C19" s="180" t="s">
        <v>21</v>
      </c>
      <c r="D19" s="181"/>
      <c r="E19" s="182" t="s">
        <v>22</v>
      </c>
      <c r="F19" s="183"/>
      <c r="G19" s="101"/>
      <c r="H19" s="59"/>
    </row>
    <row r="20" spans="2:8" ht="11.25" customHeight="1" x14ac:dyDescent="0.15">
      <c r="B20" s="52"/>
      <c r="C20" s="53"/>
      <c r="D20" s="53"/>
      <c r="E20" s="53"/>
      <c r="F20" s="53"/>
      <c r="G20" s="53"/>
      <c r="H20" s="54"/>
    </row>
    <row r="21" spans="2:8" ht="14.25" customHeight="1" x14ac:dyDescent="0.15">
      <c r="B21" s="55"/>
      <c r="C21" s="184"/>
      <c r="D21" s="184"/>
      <c r="E21" s="185"/>
      <c r="F21" s="185"/>
      <c r="G21" s="185"/>
      <c r="H21" s="56"/>
    </row>
    <row r="22" spans="2:8" ht="36" customHeight="1" x14ac:dyDescent="0.2">
      <c r="B22" s="166" t="s">
        <v>23</v>
      </c>
      <c r="C22" s="167"/>
      <c r="D22" s="167"/>
      <c r="E22" s="167"/>
      <c r="F22" s="167"/>
      <c r="G22" s="167"/>
      <c r="H22" s="168"/>
    </row>
    <row r="23" spans="2:8" ht="12.95" x14ac:dyDescent="0.15">
      <c r="B23" s="57"/>
      <c r="C23" s="58"/>
      <c r="D23" s="58"/>
      <c r="E23" s="169"/>
      <c r="F23" s="169"/>
      <c r="G23" s="51"/>
      <c r="H23" s="59"/>
    </row>
    <row r="24" spans="2:8" ht="14.1" thickBot="1" x14ac:dyDescent="0.2">
      <c r="B24" s="60"/>
      <c r="C24" s="61"/>
      <c r="D24" s="61"/>
      <c r="E24" s="61"/>
      <c r="F24" s="61"/>
      <c r="G24" s="61"/>
      <c r="H24" s="62"/>
    </row>
    <row r="25" spans="2:8" ht="12.95" x14ac:dyDescent="0.15"/>
    <row r="26" spans="2:8" ht="29.25" customHeight="1" x14ac:dyDescent="0.15"/>
    <row r="27" spans="2:8" ht="26.25" customHeight="1" x14ac:dyDescent="0.15"/>
    <row r="28" spans="2:8" ht="43.5" customHeight="1" x14ac:dyDescent="0.15"/>
    <row r="29" spans="2:8" ht="53.25" customHeight="1" x14ac:dyDescent="0.15"/>
    <row r="30" spans="2:8" ht="12.95" x14ac:dyDescent="0.15"/>
    <row r="31" spans="2:8" ht="12.95" x14ac:dyDescent="0.15"/>
    <row r="32" spans="2:8" ht="12.95" x14ac:dyDescent="0.15"/>
    <row r="33" ht="12.95" x14ac:dyDescent="0.15"/>
    <row r="34" ht="12.95" x14ac:dyDescent="0.15"/>
    <row r="35" ht="12.95" x14ac:dyDescent="0.15"/>
    <row r="36" ht="12.75" customHeight="1" x14ac:dyDescent="0.15"/>
    <row r="37" ht="12.75" customHeight="1" x14ac:dyDescent="0.15"/>
    <row r="38" ht="12.75" customHeight="1" x14ac:dyDescent="0.15"/>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x14ac:dyDescent="0.2"/>
    <row r="52" x14ac:dyDescent="0.2"/>
    <row r="54" x14ac:dyDescent="0.2"/>
  </sheetData>
  <sheetProtection algorithmName="SHA-512" hashValue="t7sIeOvFa2bhukBsHVcHmO5gG9cifT20ZR8W/o5PL1FLs7w8K+KkEm6wLVbMVfYFM8W9luBRuNKu+qdhAWPM7w==" saltValue="H/shNuEdnFDauevCofk8Sw==" spinCount="100000" sheet="1" objects="1" scenarios="1"/>
  <mergeCells count="27">
    <mergeCell ref="B2:H2"/>
    <mergeCell ref="B3:H4"/>
    <mergeCell ref="B5:H5"/>
    <mergeCell ref="B6:H7"/>
    <mergeCell ref="C9:D9"/>
    <mergeCell ref="E9:F9"/>
    <mergeCell ref="C10:D10"/>
    <mergeCell ref="E10:F10"/>
    <mergeCell ref="C11:D11"/>
    <mergeCell ref="E11:F11"/>
    <mergeCell ref="C12:D12"/>
    <mergeCell ref="E12:F12"/>
    <mergeCell ref="B22:H22"/>
    <mergeCell ref="E23:F23"/>
    <mergeCell ref="C13:D13"/>
    <mergeCell ref="E13:F13"/>
    <mergeCell ref="C16:D16"/>
    <mergeCell ref="C18:D18"/>
    <mergeCell ref="E18:F18"/>
    <mergeCell ref="C19:D19"/>
    <mergeCell ref="E19:F19"/>
    <mergeCell ref="C21:D21"/>
    <mergeCell ref="E21:G21"/>
    <mergeCell ref="B15:H15"/>
    <mergeCell ref="E16:F16"/>
    <mergeCell ref="C17:D17"/>
    <mergeCell ref="E17:F1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9"/>
  <sheetViews>
    <sheetView showGridLines="0" topLeftCell="E1" zoomScaleNormal="80" workbookViewId="0">
      <selection activeCell="I55" sqref="I55"/>
    </sheetView>
  </sheetViews>
  <sheetFormatPr baseColWidth="10" defaultColWidth="11.42578125" defaultRowHeight="16.5" x14ac:dyDescent="0.3"/>
  <cols>
    <col min="1" max="1" width="3" style="47" hidden="1" customWidth="1"/>
    <col min="2" max="2" width="9.42578125" style="47" customWidth="1"/>
    <col min="3" max="3" width="25.42578125" style="47" customWidth="1"/>
    <col min="4" max="4" width="46.42578125" style="47" customWidth="1"/>
    <col min="5" max="5" width="10.140625" style="70" customWidth="1"/>
    <col min="6" max="6" width="44.42578125" style="70" customWidth="1"/>
    <col min="7" max="7" width="15.42578125" style="47" customWidth="1"/>
    <col min="8" max="8" width="79.85546875" style="162" customWidth="1"/>
    <col min="9" max="9" width="43" style="47" customWidth="1"/>
    <col min="10" max="12" width="11.42578125" style="75" customWidth="1"/>
    <col min="13" max="24" width="11.42578125" style="47" customWidth="1"/>
    <col min="25" max="16384" width="11.42578125" style="47"/>
  </cols>
  <sheetData>
    <row r="1" spans="1:32" ht="15.95" x14ac:dyDescent="0.2">
      <c r="B1" s="46"/>
      <c r="C1" s="46"/>
      <c r="D1" s="46"/>
      <c r="E1" s="69"/>
      <c r="F1" s="69"/>
      <c r="G1" s="46"/>
      <c r="H1" s="156"/>
      <c r="I1" s="46"/>
      <c r="J1" s="71"/>
      <c r="K1" s="71"/>
      <c r="L1" s="72"/>
      <c r="M1" s="46"/>
      <c r="N1" s="46"/>
      <c r="O1" s="46"/>
      <c r="P1" s="46"/>
      <c r="Q1" s="46"/>
      <c r="R1" s="46"/>
      <c r="S1" s="46"/>
      <c r="T1" s="46"/>
      <c r="U1" s="46"/>
      <c r="V1" s="46"/>
      <c r="W1" s="46"/>
      <c r="X1" s="46"/>
    </row>
    <row r="2" spans="1:32" ht="15.95" x14ac:dyDescent="0.2">
      <c r="B2" s="46"/>
      <c r="C2" s="46"/>
      <c r="D2" s="46"/>
      <c r="E2" s="69"/>
      <c r="F2" s="69"/>
      <c r="G2" s="46"/>
      <c r="H2" s="156"/>
      <c r="I2" s="46"/>
      <c r="J2" s="71"/>
      <c r="K2" s="71"/>
      <c r="L2" s="72"/>
      <c r="M2" s="46"/>
      <c r="N2" s="46"/>
      <c r="O2" s="46"/>
      <c r="P2" s="46"/>
      <c r="Q2" s="46"/>
      <c r="R2" s="46"/>
      <c r="S2" s="46"/>
      <c r="T2" s="46"/>
      <c r="U2" s="46"/>
      <c r="V2" s="46"/>
      <c r="W2" s="46"/>
      <c r="X2" s="46"/>
    </row>
    <row r="3" spans="1:32" ht="15.95" x14ac:dyDescent="0.2">
      <c r="B3" s="46"/>
      <c r="C3" s="46"/>
      <c r="D3" s="46"/>
      <c r="E3" s="69"/>
      <c r="F3" s="69"/>
      <c r="G3" s="46"/>
      <c r="H3" s="156"/>
      <c r="I3" s="46"/>
      <c r="J3" s="71"/>
      <c r="K3" s="71"/>
      <c r="L3" s="72"/>
      <c r="M3" s="46"/>
      <c r="N3" s="46"/>
      <c r="O3" s="46"/>
      <c r="P3" s="46"/>
      <c r="Q3" s="46"/>
      <c r="R3" s="46"/>
      <c r="S3" s="46"/>
      <c r="T3" s="46"/>
      <c r="U3" s="46"/>
      <c r="V3" s="46"/>
      <c r="W3" s="46"/>
      <c r="X3" s="46"/>
    </row>
    <row r="4" spans="1:32" ht="15.95" x14ac:dyDescent="0.2">
      <c r="B4" s="46"/>
      <c r="C4" s="46"/>
      <c r="D4" s="46"/>
      <c r="E4" s="69"/>
      <c r="F4" s="69"/>
      <c r="G4" s="46"/>
      <c r="H4" s="156"/>
      <c r="I4" s="46"/>
      <c r="J4" s="71"/>
      <c r="K4" s="71"/>
      <c r="L4" s="72"/>
      <c r="M4" s="46"/>
      <c r="N4" s="46"/>
      <c r="O4" s="46"/>
      <c r="P4" s="46"/>
      <c r="Q4" s="46"/>
      <c r="R4" s="46"/>
      <c r="S4" s="46"/>
      <c r="T4" s="46"/>
      <c r="U4" s="46"/>
      <c r="V4" s="46"/>
      <c r="W4" s="46"/>
      <c r="X4" s="46"/>
    </row>
    <row r="5" spans="1:32" ht="15.95" x14ac:dyDescent="0.2">
      <c r="B5" s="46"/>
      <c r="C5" s="46"/>
      <c r="D5" s="46"/>
      <c r="E5" s="69"/>
      <c r="F5" s="69"/>
      <c r="G5" s="46"/>
      <c r="H5" s="156"/>
      <c r="I5" s="46"/>
      <c r="J5" s="71"/>
      <c r="K5" s="71"/>
      <c r="L5" s="72"/>
      <c r="M5" s="46"/>
      <c r="N5" s="46"/>
      <c r="O5" s="46"/>
      <c r="P5" s="46"/>
      <c r="Q5" s="46"/>
      <c r="R5" s="46"/>
      <c r="S5" s="46"/>
      <c r="T5" s="46"/>
      <c r="U5" s="46"/>
      <c r="V5" s="46"/>
      <c r="W5" s="46"/>
      <c r="X5" s="46"/>
    </row>
    <row r="6" spans="1:32" ht="15.95" x14ac:dyDescent="0.2">
      <c r="B6" s="46"/>
      <c r="C6" s="46"/>
      <c r="D6" s="46"/>
      <c r="E6" s="69"/>
      <c r="F6" s="69"/>
      <c r="G6" s="46"/>
      <c r="H6" s="156"/>
      <c r="I6" s="46"/>
      <c r="J6" s="71"/>
      <c r="K6" s="71"/>
      <c r="L6" s="72"/>
      <c r="M6" s="46"/>
      <c r="N6" s="46"/>
      <c r="O6" s="46"/>
      <c r="P6" s="46"/>
      <c r="Q6" s="46"/>
      <c r="R6" s="46"/>
      <c r="S6" s="46"/>
      <c r="T6" s="46"/>
      <c r="U6" s="46"/>
      <c r="V6" s="46"/>
      <c r="W6" s="46"/>
      <c r="X6" s="46"/>
    </row>
    <row r="7" spans="1:32" ht="15.95" x14ac:dyDescent="0.2">
      <c r="B7" s="46"/>
      <c r="C7" s="46"/>
      <c r="D7" s="46"/>
      <c r="E7" s="69"/>
      <c r="F7" s="69"/>
      <c r="G7" s="46"/>
      <c r="H7" s="156"/>
      <c r="I7" s="46"/>
      <c r="J7" s="71"/>
      <c r="K7" s="71"/>
      <c r="L7" s="72"/>
      <c r="M7" s="46"/>
      <c r="N7" s="46"/>
      <c r="O7" s="46"/>
      <c r="P7" s="46"/>
      <c r="Q7" s="46"/>
      <c r="R7" s="46"/>
      <c r="S7" s="46"/>
      <c r="T7" s="46"/>
      <c r="U7" s="46"/>
      <c r="V7" s="46"/>
      <c r="W7" s="46"/>
      <c r="X7" s="46"/>
    </row>
    <row r="8" spans="1:32" ht="15.95" x14ac:dyDescent="0.2">
      <c r="B8" s="46"/>
      <c r="C8" s="46"/>
      <c r="D8" s="46"/>
      <c r="E8" s="69"/>
      <c r="F8" s="69"/>
      <c r="G8" s="46"/>
      <c r="H8" s="156"/>
      <c r="I8" s="46"/>
      <c r="J8" s="71"/>
      <c r="K8" s="71"/>
      <c r="L8" s="72"/>
      <c r="M8" s="46"/>
      <c r="N8" s="46"/>
      <c r="O8" s="46"/>
      <c r="P8" s="46"/>
      <c r="Q8" s="46"/>
      <c r="R8" s="46"/>
      <c r="S8" s="46"/>
      <c r="T8" s="46"/>
      <c r="U8" s="46"/>
      <c r="V8" s="46"/>
      <c r="W8" s="46"/>
      <c r="X8" s="46"/>
    </row>
    <row r="9" spans="1:32" ht="15.95" x14ac:dyDescent="0.2">
      <c r="B9" s="46"/>
      <c r="C9" s="46"/>
      <c r="D9" s="46"/>
      <c r="E9" s="69"/>
      <c r="F9" s="69"/>
      <c r="G9" s="46"/>
      <c r="H9" s="156"/>
      <c r="I9" s="46"/>
      <c r="J9" s="71"/>
      <c r="K9" s="71"/>
      <c r="L9" s="72"/>
      <c r="M9" s="46"/>
      <c r="N9" s="46"/>
      <c r="O9" s="46"/>
      <c r="P9" s="46"/>
      <c r="Q9" s="46"/>
      <c r="R9" s="46"/>
      <c r="S9" s="46"/>
      <c r="T9" s="46"/>
      <c r="U9" s="46"/>
      <c r="V9" s="46"/>
      <c r="W9" s="46"/>
      <c r="X9" s="46"/>
    </row>
    <row r="10" spans="1:32" ht="15.95" x14ac:dyDescent="0.2">
      <c r="B10" s="46"/>
      <c r="C10" s="46"/>
      <c r="D10" s="46"/>
      <c r="E10" s="69"/>
      <c r="F10" s="69"/>
      <c r="G10" s="46"/>
      <c r="H10" s="156"/>
      <c r="I10" s="46"/>
      <c r="J10" s="71"/>
      <c r="K10" s="71"/>
      <c r="L10" s="72"/>
      <c r="M10" s="46"/>
      <c r="N10" s="46"/>
      <c r="O10" s="46"/>
      <c r="P10" s="46"/>
      <c r="Q10" s="46"/>
      <c r="R10" s="46"/>
      <c r="S10" s="46"/>
      <c r="T10" s="46"/>
      <c r="U10" s="46"/>
      <c r="V10" s="46"/>
      <c r="W10" s="46"/>
      <c r="X10" s="46"/>
    </row>
    <row r="11" spans="1:32" ht="15.95" x14ac:dyDescent="0.2">
      <c r="B11" s="46"/>
      <c r="C11" s="46"/>
      <c r="D11" s="46"/>
      <c r="E11" s="69"/>
      <c r="F11" s="69"/>
      <c r="G11" s="46"/>
      <c r="H11" s="156"/>
      <c r="I11" s="46"/>
      <c r="J11" s="71"/>
      <c r="K11" s="71"/>
      <c r="L11" s="72"/>
      <c r="M11" s="46"/>
      <c r="N11" s="46"/>
      <c r="O11" s="46"/>
      <c r="P11" s="46"/>
      <c r="Q11" s="46"/>
      <c r="R11" s="46"/>
      <c r="S11" s="46"/>
      <c r="T11" s="46"/>
      <c r="U11" s="46"/>
      <c r="V11" s="46"/>
      <c r="W11" s="46"/>
      <c r="X11" s="46"/>
    </row>
    <row r="12" spans="1:32" ht="15.95" x14ac:dyDescent="0.2">
      <c r="B12" s="46"/>
      <c r="C12" s="46"/>
      <c r="D12" s="46"/>
      <c r="E12" s="69"/>
      <c r="F12" s="69"/>
      <c r="G12" s="46"/>
      <c r="H12" s="156"/>
      <c r="I12" s="46"/>
      <c r="J12" s="71"/>
      <c r="K12" s="71"/>
      <c r="L12" s="72"/>
      <c r="M12" s="46"/>
      <c r="N12" s="46"/>
      <c r="O12" s="46"/>
      <c r="P12" s="46"/>
      <c r="Q12" s="46"/>
      <c r="R12" s="46"/>
      <c r="S12" s="46"/>
      <c r="T12" s="46"/>
      <c r="U12" s="46"/>
      <c r="V12" s="46"/>
      <c r="W12" s="46"/>
      <c r="X12" s="46"/>
    </row>
    <row r="13" spans="1:32" ht="15.95" x14ac:dyDescent="0.2">
      <c r="B13" s="46"/>
      <c r="C13" s="46"/>
      <c r="D13" s="46"/>
      <c r="E13" s="69"/>
      <c r="F13" s="69"/>
      <c r="G13" s="46"/>
      <c r="H13" s="156"/>
      <c r="I13" s="46"/>
      <c r="J13" s="71"/>
      <c r="K13" s="71"/>
      <c r="L13" s="72"/>
      <c r="M13" s="46"/>
      <c r="N13" s="46"/>
      <c r="O13" s="46"/>
      <c r="P13" s="46"/>
      <c r="Q13" s="46"/>
      <c r="R13" s="46"/>
      <c r="S13" s="46"/>
      <c r="T13" s="46"/>
      <c r="U13" s="46"/>
      <c r="V13" s="46"/>
      <c r="W13" s="46"/>
      <c r="X13" s="46"/>
    </row>
    <row r="14" spans="1:32" s="49" customFormat="1" ht="49.5" customHeight="1" x14ac:dyDescent="0.2">
      <c r="B14" s="215" t="s">
        <v>24</v>
      </c>
      <c r="C14" s="215"/>
      <c r="D14" s="215"/>
      <c r="E14" s="215"/>
      <c r="F14" s="215"/>
      <c r="G14" s="215"/>
      <c r="H14" s="215"/>
      <c r="I14" s="215"/>
      <c r="J14" s="73"/>
      <c r="K14" s="73"/>
      <c r="L14" s="74"/>
      <c r="M14" s="48"/>
      <c r="N14" s="48"/>
      <c r="O14" s="48"/>
      <c r="P14" s="48"/>
      <c r="Q14" s="48"/>
      <c r="R14" s="48"/>
      <c r="S14" s="48"/>
      <c r="T14" s="48"/>
      <c r="U14" s="48"/>
      <c r="V14" s="48"/>
      <c r="W14" s="48"/>
      <c r="X14" s="48"/>
      <c r="Y14" s="48"/>
      <c r="Z14" s="48"/>
      <c r="AA14" s="48"/>
      <c r="AB14" s="48"/>
      <c r="AC14" s="48"/>
      <c r="AD14" s="48"/>
      <c r="AE14" s="48"/>
      <c r="AF14" s="48"/>
    </row>
    <row r="15" spans="1:32" s="49" customFormat="1" ht="123.75" customHeight="1" thickBot="1" x14ac:dyDescent="0.3">
      <c r="B15" s="77" t="s">
        <v>25</v>
      </c>
      <c r="C15" s="77" t="s">
        <v>6</v>
      </c>
      <c r="D15" s="78" t="s">
        <v>8</v>
      </c>
      <c r="E15" s="79" t="s">
        <v>26</v>
      </c>
      <c r="F15" s="79" t="s">
        <v>27</v>
      </c>
      <c r="G15" s="79" t="s">
        <v>28</v>
      </c>
      <c r="H15" s="157" t="s">
        <v>29</v>
      </c>
      <c r="I15" s="79" t="s">
        <v>30</v>
      </c>
      <c r="J15" s="73"/>
      <c r="K15" s="73"/>
      <c r="L15" s="74"/>
      <c r="M15" s="48"/>
      <c r="N15" s="48"/>
      <c r="O15" s="48"/>
      <c r="P15" s="48"/>
      <c r="Q15" s="48"/>
      <c r="R15" s="48"/>
      <c r="S15" s="48"/>
      <c r="T15" s="48"/>
      <c r="U15" s="48"/>
      <c r="V15" s="48"/>
      <c r="W15" s="48"/>
      <c r="X15" s="48"/>
      <c r="Y15" s="48"/>
      <c r="Z15" s="48"/>
      <c r="AA15" s="48"/>
      <c r="AB15" s="48"/>
      <c r="AC15" s="48"/>
      <c r="AD15" s="48"/>
      <c r="AE15" s="48"/>
      <c r="AF15" s="48"/>
    </row>
    <row r="16" spans="1:32" s="49" customFormat="1" ht="71.25" customHeight="1" x14ac:dyDescent="0.25">
      <c r="A16" s="102" t="str">
        <f>1&amp;E16</f>
        <v>1a</v>
      </c>
      <c r="B16" s="231" t="s">
        <v>31</v>
      </c>
      <c r="C16" s="241" t="s">
        <v>32</v>
      </c>
      <c r="D16" s="228" t="s">
        <v>33</v>
      </c>
      <c r="E16" s="80" t="s">
        <v>34</v>
      </c>
      <c r="F16" s="81" t="s">
        <v>35</v>
      </c>
      <c r="G16" s="111" t="s">
        <v>36</v>
      </c>
      <c r="H16" s="158" t="s">
        <v>37</v>
      </c>
      <c r="I16" s="103" t="str">
        <f>+IF(G16="Si","Mantenimiento del control",IF(G16="En proceso","Oportunidad de mejora","Deficiencia de control"))</f>
        <v>Deficiencia de control</v>
      </c>
      <c r="J16" s="104">
        <f t="shared" ref="J16:J27" si="0">+IF(G16="Si",20,IF(G16="En proceso",10,0))</f>
        <v>0</v>
      </c>
      <c r="K16" s="104">
        <v>0.123</v>
      </c>
      <c r="L16" s="104">
        <f>+J16+K16</f>
        <v>0.123</v>
      </c>
    </row>
    <row r="17" spans="1:32" s="49" customFormat="1" ht="63" x14ac:dyDescent="0.25">
      <c r="A17" s="102" t="str">
        <f t="shared" ref="A17:A27" si="1">1&amp;E17</f>
        <v>1b</v>
      </c>
      <c r="B17" s="232"/>
      <c r="C17" s="242"/>
      <c r="D17" s="229"/>
      <c r="E17" s="82" t="s">
        <v>38</v>
      </c>
      <c r="F17" s="83" t="s">
        <v>39</v>
      </c>
      <c r="G17" s="112" t="s">
        <v>40</v>
      </c>
      <c r="H17" s="163" t="s">
        <v>41</v>
      </c>
      <c r="I17" s="105" t="str">
        <f t="shared" ref="I17:I59" si="2">+IF(G17="Si","Mantenimiento del control",IF(G17="En proceso","Oportunidad de mejora","Deficiencia de control"))</f>
        <v>Mantenimiento del control</v>
      </c>
      <c r="J17" s="106">
        <f t="shared" si="0"/>
        <v>20</v>
      </c>
      <c r="K17" s="104">
        <v>0.1234</v>
      </c>
      <c r="L17" s="104">
        <f t="shared" ref="L17:L59" si="3">+J17+K17</f>
        <v>20.1234</v>
      </c>
    </row>
    <row r="18" spans="1:32" s="49" customFormat="1" ht="63" x14ac:dyDescent="0.25">
      <c r="A18" s="102" t="str">
        <f t="shared" si="1"/>
        <v>1c</v>
      </c>
      <c r="B18" s="232"/>
      <c r="C18" s="242"/>
      <c r="D18" s="229"/>
      <c r="E18" s="82" t="s">
        <v>42</v>
      </c>
      <c r="F18" s="84" t="s">
        <v>43</v>
      </c>
      <c r="G18" s="113" t="s">
        <v>40</v>
      </c>
      <c r="H18" s="159" t="s">
        <v>228</v>
      </c>
      <c r="I18" s="107" t="str">
        <f t="shared" si="2"/>
        <v>Mantenimiento del control</v>
      </c>
      <c r="J18" s="106">
        <f t="shared" si="0"/>
        <v>20</v>
      </c>
      <c r="K18" s="104">
        <v>0.12345</v>
      </c>
      <c r="L18" s="104">
        <f t="shared" si="3"/>
        <v>20.123449999999998</v>
      </c>
    </row>
    <row r="19" spans="1:32" s="49" customFormat="1" ht="47.25" x14ac:dyDescent="0.25">
      <c r="A19" s="102" t="str">
        <f t="shared" si="1"/>
        <v>1d</v>
      </c>
      <c r="B19" s="232"/>
      <c r="C19" s="242"/>
      <c r="D19" s="229"/>
      <c r="E19" s="82" t="s">
        <v>44</v>
      </c>
      <c r="F19" s="84" t="s">
        <v>45</v>
      </c>
      <c r="G19" s="113" t="s">
        <v>40</v>
      </c>
      <c r="H19" s="159" t="s">
        <v>46</v>
      </c>
      <c r="I19" s="107" t="str">
        <f t="shared" si="2"/>
        <v>Mantenimiento del control</v>
      </c>
      <c r="J19" s="106">
        <f t="shared" si="0"/>
        <v>20</v>
      </c>
      <c r="K19" s="104">
        <v>0.123456</v>
      </c>
      <c r="L19" s="104">
        <f t="shared" si="3"/>
        <v>20.123456000000001</v>
      </c>
    </row>
    <row r="20" spans="1:32" s="49" customFormat="1" ht="47.25" x14ac:dyDescent="0.25">
      <c r="A20" s="102" t="str">
        <f t="shared" si="1"/>
        <v>1e</v>
      </c>
      <c r="B20" s="232"/>
      <c r="C20" s="242"/>
      <c r="D20" s="229"/>
      <c r="E20" s="82" t="s">
        <v>47</v>
      </c>
      <c r="F20" s="84" t="s">
        <v>48</v>
      </c>
      <c r="G20" s="113" t="s">
        <v>40</v>
      </c>
      <c r="H20" s="159" t="s">
        <v>49</v>
      </c>
      <c r="I20" s="107" t="str">
        <f t="shared" si="2"/>
        <v>Mantenimiento del control</v>
      </c>
      <c r="J20" s="106">
        <f t="shared" si="0"/>
        <v>20</v>
      </c>
      <c r="K20" s="104">
        <v>0.12345678</v>
      </c>
      <c r="L20" s="104">
        <f t="shared" si="3"/>
        <v>20.123456780000001</v>
      </c>
    </row>
    <row r="21" spans="1:32" s="49" customFormat="1" ht="94.5" x14ac:dyDescent="0.25">
      <c r="A21" s="102" t="str">
        <f t="shared" si="1"/>
        <v>1f</v>
      </c>
      <c r="B21" s="232"/>
      <c r="C21" s="242"/>
      <c r="D21" s="229"/>
      <c r="E21" s="82" t="s">
        <v>50</v>
      </c>
      <c r="F21" s="84" t="s">
        <v>51</v>
      </c>
      <c r="G21" s="113" t="s">
        <v>40</v>
      </c>
      <c r="H21" s="159" t="s">
        <v>217</v>
      </c>
      <c r="I21" s="107" t="str">
        <f t="shared" si="2"/>
        <v>Mantenimiento del control</v>
      </c>
      <c r="J21" s="106">
        <f t="shared" si="0"/>
        <v>20</v>
      </c>
      <c r="K21" s="104">
        <v>0.123456789</v>
      </c>
      <c r="L21" s="104">
        <f t="shared" si="3"/>
        <v>20.123456788999999</v>
      </c>
    </row>
    <row r="22" spans="1:32" s="49" customFormat="1" ht="65.25" customHeight="1" x14ac:dyDescent="0.25">
      <c r="A22" s="102" t="str">
        <f t="shared" si="1"/>
        <v>1g</v>
      </c>
      <c r="B22" s="232"/>
      <c r="C22" s="242"/>
      <c r="D22" s="229"/>
      <c r="E22" s="82" t="s">
        <v>53</v>
      </c>
      <c r="F22" s="84" t="s">
        <v>54</v>
      </c>
      <c r="G22" s="113" t="s">
        <v>40</v>
      </c>
      <c r="H22" s="159" t="s">
        <v>218</v>
      </c>
      <c r="I22" s="107" t="str">
        <f t="shared" si="2"/>
        <v>Mantenimiento del control</v>
      </c>
      <c r="J22" s="106">
        <f t="shared" si="0"/>
        <v>20</v>
      </c>
      <c r="K22" s="104">
        <v>0.12345678910000001</v>
      </c>
      <c r="L22" s="104">
        <f t="shared" si="3"/>
        <v>20.1234567891</v>
      </c>
    </row>
    <row r="23" spans="1:32" s="49" customFormat="1" ht="141.75" x14ac:dyDescent="0.25">
      <c r="A23" s="102" t="str">
        <f t="shared" si="1"/>
        <v>1h</v>
      </c>
      <c r="B23" s="232"/>
      <c r="C23" s="242"/>
      <c r="D23" s="229"/>
      <c r="E23" s="82" t="s">
        <v>55</v>
      </c>
      <c r="F23" s="84" t="s">
        <v>56</v>
      </c>
      <c r="G23" s="113" t="s">
        <v>52</v>
      </c>
      <c r="H23" s="159" t="s">
        <v>232</v>
      </c>
      <c r="I23" s="107" t="str">
        <f t="shared" si="2"/>
        <v>Oportunidad de mejora</v>
      </c>
      <c r="J23" s="106">
        <f t="shared" si="0"/>
        <v>10</v>
      </c>
      <c r="K23" s="104">
        <v>0.12345678911999999</v>
      </c>
      <c r="L23" s="104">
        <f t="shared" si="3"/>
        <v>10.12345678912</v>
      </c>
    </row>
    <row r="24" spans="1:32" s="49" customFormat="1" ht="94.5" x14ac:dyDescent="0.25">
      <c r="A24" s="102" t="str">
        <f t="shared" si="1"/>
        <v>1i</v>
      </c>
      <c r="B24" s="232"/>
      <c r="C24" s="242"/>
      <c r="D24" s="229"/>
      <c r="E24" s="82" t="s">
        <v>57</v>
      </c>
      <c r="F24" s="84" t="s">
        <v>58</v>
      </c>
      <c r="G24" s="113" t="s">
        <v>40</v>
      </c>
      <c r="H24" s="159" t="s">
        <v>219</v>
      </c>
      <c r="I24" s="107" t="str">
        <f t="shared" si="2"/>
        <v>Mantenimiento del control</v>
      </c>
      <c r="J24" s="106">
        <f t="shared" si="0"/>
        <v>20</v>
      </c>
      <c r="K24" s="104">
        <v>0.123456789123</v>
      </c>
      <c r="L24" s="104">
        <f t="shared" si="3"/>
        <v>20.123456789123001</v>
      </c>
    </row>
    <row r="25" spans="1:32" s="49" customFormat="1" ht="52.5" customHeight="1" x14ac:dyDescent="0.25">
      <c r="A25" s="102" t="str">
        <f t="shared" si="1"/>
        <v>1j</v>
      </c>
      <c r="B25" s="232"/>
      <c r="C25" s="242"/>
      <c r="D25" s="229"/>
      <c r="E25" s="82" t="s">
        <v>59</v>
      </c>
      <c r="F25" s="84" t="s">
        <v>60</v>
      </c>
      <c r="G25" s="113" t="s">
        <v>36</v>
      </c>
      <c r="H25" s="159" t="s">
        <v>61</v>
      </c>
      <c r="I25" s="107" t="str">
        <f t="shared" si="2"/>
        <v>Deficiencia de control</v>
      </c>
      <c r="J25" s="106">
        <f t="shared" si="0"/>
        <v>0</v>
      </c>
      <c r="K25" s="104">
        <v>0.1234567891234</v>
      </c>
      <c r="L25" s="104">
        <f t="shared" si="3"/>
        <v>0.1234567891234</v>
      </c>
    </row>
    <row r="26" spans="1:32" s="49" customFormat="1" ht="94.5" x14ac:dyDescent="0.25">
      <c r="A26" s="102" t="str">
        <f t="shared" si="1"/>
        <v>1k</v>
      </c>
      <c r="B26" s="232"/>
      <c r="C26" s="242"/>
      <c r="D26" s="229"/>
      <c r="E26" s="82" t="s">
        <v>62</v>
      </c>
      <c r="F26" s="84" t="s">
        <v>63</v>
      </c>
      <c r="G26" s="113" t="s">
        <v>40</v>
      </c>
      <c r="H26" s="159" t="s">
        <v>64</v>
      </c>
      <c r="I26" s="107" t="str">
        <f t="shared" si="2"/>
        <v>Mantenimiento del control</v>
      </c>
      <c r="J26" s="106">
        <f t="shared" si="0"/>
        <v>20</v>
      </c>
      <c r="K26" s="104">
        <v>0.12345678912345</v>
      </c>
      <c r="L26" s="104">
        <f t="shared" si="3"/>
        <v>20.123456789123448</v>
      </c>
    </row>
    <row r="27" spans="1:32" s="49" customFormat="1" ht="48" thickBot="1" x14ac:dyDescent="0.3">
      <c r="A27" s="102" t="str">
        <f t="shared" si="1"/>
        <v>1l</v>
      </c>
      <c r="B27" s="233"/>
      <c r="C27" s="243"/>
      <c r="D27" s="230"/>
      <c r="E27" s="85" t="s">
        <v>65</v>
      </c>
      <c r="F27" s="86" t="s">
        <v>66</v>
      </c>
      <c r="G27" s="114" t="s">
        <v>40</v>
      </c>
      <c r="H27" s="160" t="s">
        <v>67</v>
      </c>
      <c r="I27" s="108" t="str">
        <f t="shared" si="2"/>
        <v>Mantenimiento del control</v>
      </c>
      <c r="J27" s="106">
        <f t="shared" si="0"/>
        <v>20</v>
      </c>
      <c r="K27" s="104">
        <v>0.12345678912345601</v>
      </c>
      <c r="L27" s="104">
        <f t="shared" si="3"/>
        <v>20.123456789123455</v>
      </c>
    </row>
    <row r="28" spans="1:32" s="49" customFormat="1" ht="141.75" x14ac:dyDescent="0.25">
      <c r="A28" s="102" t="str">
        <f>2&amp;E28</f>
        <v>2a</v>
      </c>
      <c r="B28" s="234" t="s">
        <v>68</v>
      </c>
      <c r="C28" s="244" t="s">
        <v>69</v>
      </c>
      <c r="D28" s="237" t="s">
        <v>70</v>
      </c>
      <c r="E28" s="80" t="s">
        <v>34</v>
      </c>
      <c r="F28" s="81" t="s">
        <v>71</v>
      </c>
      <c r="G28" s="111" t="s">
        <v>52</v>
      </c>
      <c r="H28" s="161" t="s">
        <v>233</v>
      </c>
      <c r="I28" s="103" t="str">
        <f t="shared" si="2"/>
        <v>Oportunidad de mejora</v>
      </c>
      <c r="J28" s="104">
        <f>+IF(G28="Si",40,IF(G28="En proceso",30,20))</f>
        <v>30</v>
      </c>
      <c r="K28" s="104">
        <v>0.23</v>
      </c>
      <c r="L28" s="104">
        <f t="shared" si="3"/>
        <v>30.23</v>
      </c>
    </row>
    <row r="29" spans="1:32" s="49" customFormat="1" ht="110.25" x14ac:dyDescent="0.25">
      <c r="A29" s="102" t="str">
        <f t="shared" ref="A29:A31" si="4">2&amp;E29</f>
        <v>2b</v>
      </c>
      <c r="B29" s="235"/>
      <c r="C29" s="245"/>
      <c r="D29" s="238"/>
      <c r="E29" s="82" t="s">
        <v>38</v>
      </c>
      <c r="F29" s="84" t="s">
        <v>72</v>
      </c>
      <c r="G29" s="113" t="s">
        <v>40</v>
      </c>
      <c r="H29" s="159" t="s">
        <v>220</v>
      </c>
      <c r="I29" s="107" t="str">
        <f t="shared" si="2"/>
        <v>Mantenimiento del control</v>
      </c>
      <c r="J29" s="104">
        <f>+IF(G29="Si",40,IF(G29="En proceso",30,20))</f>
        <v>40</v>
      </c>
      <c r="K29" s="104">
        <v>0.23400000000000001</v>
      </c>
      <c r="L29" s="104">
        <f t="shared" si="3"/>
        <v>40.234000000000002</v>
      </c>
    </row>
    <row r="30" spans="1:32" s="49" customFormat="1" ht="94.5" x14ac:dyDescent="0.25">
      <c r="A30" s="102" t="str">
        <f t="shared" si="4"/>
        <v>2c</v>
      </c>
      <c r="B30" s="235"/>
      <c r="C30" s="245"/>
      <c r="D30" s="238"/>
      <c r="E30" s="82" t="s">
        <v>42</v>
      </c>
      <c r="F30" s="84" t="s">
        <v>73</v>
      </c>
      <c r="G30" s="113" t="s">
        <v>40</v>
      </c>
      <c r="H30" s="159" t="s">
        <v>230</v>
      </c>
      <c r="I30" s="107" t="str">
        <f t="shared" si="2"/>
        <v>Mantenimiento del control</v>
      </c>
      <c r="J30" s="104">
        <f>+IF(G30="Si",40,IF(G30="En proceso",30,20))</f>
        <v>40</v>
      </c>
      <c r="K30" s="104">
        <v>0.23449999999999999</v>
      </c>
      <c r="L30" s="104">
        <f t="shared" si="3"/>
        <v>40.234499999999997</v>
      </c>
    </row>
    <row r="31" spans="1:32" s="49" customFormat="1" ht="126.75" thickBot="1" x14ac:dyDescent="0.3">
      <c r="A31" s="102" t="str">
        <f t="shared" si="4"/>
        <v>2d</v>
      </c>
      <c r="B31" s="236"/>
      <c r="C31" s="246"/>
      <c r="D31" s="239"/>
      <c r="E31" s="85" t="s">
        <v>44</v>
      </c>
      <c r="F31" s="86" t="s">
        <v>74</v>
      </c>
      <c r="G31" s="114" t="s">
        <v>52</v>
      </c>
      <c r="H31" s="160" t="s">
        <v>221</v>
      </c>
      <c r="I31" s="108" t="str">
        <f t="shared" si="2"/>
        <v>Oportunidad de mejora</v>
      </c>
      <c r="J31" s="104">
        <f>+IF(G31="Si",40,IF(G31="En proceso",30,20))</f>
        <v>30</v>
      </c>
      <c r="K31" s="104">
        <v>0.23455999999999999</v>
      </c>
      <c r="L31" s="104">
        <f t="shared" si="3"/>
        <v>30.234559999999998</v>
      </c>
    </row>
    <row r="32" spans="1:32" s="49" customFormat="1" ht="63" x14ac:dyDescent="0.25">
      <c r="A32" s="102" t="str">
        <f>3&amp;E32</f>
        <v>3a</v>
      </c>
      <c r="B32" s="256" t="s">
        <v>75</v>
      </c>
      <c r="C32" s="256" t="s">
        <v>69</v>
      </c>
      <c r="D32" s="257" t="s">
        <v>76</v>
      </c>
      <c r="E32" s="87" t="s">
        <v>34</v>
      </c>
      <c r="F32" s="84" t="s">
        <v>77</v>
      </c>
      <c r="G32" s="113" t="s">
        <v>40</v>
      </c>
      <c r="H32" s="159" t="s">
        <v>78</v>
      </c>
      <c r="I32" s="107" t="str">
        <f t="shared" si="2"/>
        <v>Mantenimiento del control</v>
      </c>
      <c r="J32" s="104">
        <f t="shared" ref="J32:J37" si="5">+IF(G32="Si",40,IF(G32="En proceso",30,20))</f>
        <v>40</v>
      </c>
      <c r="K32" s="109">
        <v>0.234567</v>
      </c>
      <c r="L32" s="104">
        <f t="shared" ref="L32:L37" si="6">+J32+K32</f>
        <v>40.234566999999998</v>
      </c>
      <c r="M32" s="48"/>
      <c r="N32" s="48"/>
      <c r="O32" s="48"/>
      <c r="P32" s="48"/>
      <c r="Q32" s="48"/>
      <c r="R32" s="48"/>
      <c r="S32" s="48"/>
      <c r="T32" s="48"/>
      <c r="U32" s="48"/>
      <c r="V32" s="48"/>
      <c r="W32" s="48"/>
      <c r="X32" s="48"/>
      <c r="Y32" s="48"/>
      <c r="Z32" s="48"/>
      <c r="AA32" s="48"/>
      <c r="AB32" s="48"/>
      <c r="AC32" s="48"/>
      <c r="AD32" s="48"/>
      <c r="AE32" s="48"/>
      <c r="AF32" s="48"/>
    </row>
    <row r="33" spans="1:32" s="49" customFormat="1" ht="78.75" x14ac:dyDescent="0.25">
      <c r="A33" s="102" t="str">
        <f t="shared" ref="A33:A34" si="7">3&amp;E33</f>
        <v>3b</v>
      </c>
      <c r="B33" s="256"/>
      <c r="C33" s="256"/>
      <c r="D33" s="257"/>
      <c r="E33" s="87" t="s">
        <v>38</v>
      </c>
      <c r="F33" s="84" t="s">
        <v>79</v>
      </c>
      <c r="G33" s="113" t="s">
        <v>40</v>
      </c>
      <c r="H33" s="159" t="s">
        <v>222</v>
      </c>
      <c r="I33" s="107" t="str">
        <f t="shared" si="2"/>
        <v>Mantenimiento del control</v>
      </c>
      <c r="J33" s="104">
        <f t="shared" si="5"/>
        <v>40</v>
      </c>
      <c r="K33" s="109">
        <v>0.23456779999999999</v>
      </c>
      <c r="L33" s="104">
        <f t="shared" si="6"/>
        <v>40.234567800000001</v>
      </c>
      <c r="M33" s="48"/>
      <c r="N33" s="48"/>
      <c r="O33" s="48"/>
      <c r="P33" s="48"/>
      <c r="Q33" s="48"/>
      <c r="R33" s="48"/>
      <c r="S33" s="48"/>
      <c r="T33" s="48"/>
      <c r="U33" s="48"/>
      <c r="V33" s="48"/>
      <c r="W33" s="48"/>
      <c r="X33" s="48"/>
      <c r="Y33" s="48"/>
      <c r="Z33" s="48"/>
      <c r="AA33" s="48"/>
      <c r="AB33" s="48"/>
      <c r="AC33" s="48"/>
      <c r="AD33" s="48"/>
      <c r="AE33" s="48"/>
      <c r="AF33" s="48"/>
    </row>
    <row r="34" spans="1:32" s="49" customFormat="1" ht="63.75" thickBot="1" x14ac:dyDescent="0.3">
      <c r="A34" s="102" t="str">
        <f t="shared" si="7"/>
        <v>3c</v>
      </c>
      <c r="B34" s="256"/>
      <c r="C34" s="256"/>
      <c r="D34" s="257"/>
      <c r="E34" s="87" t="s">
        <v>42</v>
      </c>
      <c r="F34" s="84" t="s">
        <v>80</v>
      </c>
      <c r="G34" s="113" t="s">
        <v>40</v>
      </c>
      <c r="H34" s="159" t="s">
        <v>234</v>
      </c>
      <c r="I34" s="107" t="str">
        <f t="shared" si="2"/>
        <v>Mantenimiento del control</v>
      </c>
      <c r="J34" s="104">
        <f t="shared" si="5"/>
        <v>40</v>
      </c>
      <c r="K34" s="109">
        <v>0.23456789</v>
      </c>
      <c r="L34" s="104">
        <f t="shared" si="6"/>
        <v>40.234567890000001</v>
      </c>
      <c r="M34" s="48"/>
      <c r="N34" s="48"/>
      <c r="O34" s="48"/>
      <c r="P34" s="48"/>
      <c r="Q34" s="48"/>
      <c r="R34" s="48"/>
      <c r="S34" s="48"/>
      <c r="T34" s="48"/>
      <c r="U34" s="48"/>
      <c r="V34" s="48"/>
      <c r="W34" s="48"/>
      <c r="X34" s="48"/>
      <c r="Y34" s="48"/>
      <c r="Z34" s="48"/>
      <c r="AA34" s="48"/>
      <c r="AB34" s="48"/>
      <c r="AC34" s="48"/>
      <c r="AD34" s="48"/>
      <c r="AE34" s="48"/>
      <c r="AF34" s="48"/>
    </row>
    <row r="35" spans="1:32" s="49" customFormat="1" ht="110.25" x14ac:dyDescent="0.25">
      <c r="A35" s="102" t="str">
        <f>4&amp;E35</f>
        <v>4a</v>
      </c>
      <c r="B35" s="258" t="s">
        <v>81</v>
      </c>
      <c r="C35" s="245" t="s">
        <v>69</v>
      </c>
      <c r="D35" s="238" t="s">
        <v>82</v>
      </c>
      <c r="E35" s="80" t="s">
        <v>34</v>
      </c>
      <c r="F35" s="81" t="s">
        <v>83</v>
      </c>
      <c r="G35" s="111" t="s">
        <v>40</v>
      </c>
      <c r="H35" s="161" t="s">
        <v>227</v>
      </c>
      <c r="I35" s="103" t="str">
        <f t="shared" si="2"/>
        <v>Mantenimiento del control</v>
      </c>
      <c r="J35" s="104">
        <f t="shared" si="5"/>
        <v>40</v>
      </c>
      <c r="K35" s="109">
        <v>0.23456789119999999</v>
      </c>
      <c r="L35" s="104">
        <f t="shared" si="6"/>
        <v>40.234567891200001</v>
      </c>
      <c r="M35" s="48"/>
      <c r="N35" s="48"/>
      <c r="O35" s="48"/>
      <c r="P35" s="48"/>
      <c r="Q35" s="48"/>
    </row>
    <row r="36" spans="1:32" s="49" customFormat="1" ht="47.25" x14ac:dyDescent="0.25">
      <c r="A36" s="102" t="str">
        <f t="shared" ref="A36:A37" si="8">4&amp;E36</f>
        <v>4b</v>
      </c>
      <c r="B36" s="258"/>
      <c r="C36" s="245"/>
      <c r="D36" s="238"/>
      <c r="E36" s="82" t="s">
        <v>38</v>
      </c>
      <c r="F36" s="84" t="s">
        <v>84</v>
      </c>
      <c r="G36" s="113" t="s">
        <v>40</v>
      </c>
      <c r="H36" s="159" t="s">
        <v>85</v>
      </c>
      <c r="I36" s="107" t="str">
        <f t="shared" si="2"/>
        <v>Mantenimiento del control</v>
      </c>
      <c r="J36" s="104">
        <f t="shared" si="5"/>
        <v>40</v>
      </c>
      <c r="K36" s="109">
        <v>0.23456789122999999</v>
      </c>
      <c r="L36" s="104">
        <f t="shared" si="6"/>
        <v>40.23456789123</v>
      </c>
      <c r="M36" s="48"/>
      <c r="N36" s="48"/>
      <c r="O36" s="48"/>
      <c r="P36" s="48"/>
      <c r="Q36" s="48"/>
    </row>
    <row r="37" spans="1:32" s="49" customFormat="1" ht="48" thickBot="1" x14ac:dyDescent="0.3">
      <c r="A37" s="102" t="str">
        <f t="shared" si="8"/>
        <v>4c</v>
      </c>
      <c r="B37" s="258"/>
      <c r="C37" s="245"/>
      <c r="D37" s="238"/>
      <c r="E37" s="82" t="s">
        <v>42</v>
      </c>
      <c r="F37" s="84" t="s">
        <v>86</v>
      </c>
      <c r="G37" s="113" t="s">
        <v>40</v>
      </c>
      <c r="H37" s="159" t="s">
        <v>223</v>
      </c>
      <c r="I37" s="107" t="str">
        <f t="shared" si="2"/>
        <v>Mantenimiento del control</v>
      </c>
      <c r="J37" s="104">
        <f t="shared" si="5"/>
        <v>40</v>
      </c>
      <c r="K37" s="109">
        <v>0.23456789123399999</v>
      </c>
      <c r="L37" s="104">
        <f t="shared" si="6"/>
        <v>40.234567891234001</v>
      </c>
      <c r="M37" s="48"/>
      <c r="N37" s="48"/>
      <c r="O37" s="48"/>
      <c r="P37" s="48"/>
      <c r="Q37" s="48"/>
    </row>
    <row r="38" spans="1:32" s="49" customFormat="1" ht="110.25" x14ac:dyDescent="0.25">
      <c r="A38" s="102" t="str">
        <f>5&amp;E38</f>
        <v>5a</v>
      </c>
      <c r="B38" s="259" t="s">
        <v>87</v>
      </c>
      <c r="C38" s="247" t="s">
        <v>88</v>
      </c>
      <c r="D38" s="262" t="s">
        <v>89</v>
      </c>
      <c r="E38" s="80" t="s">
        <v>34</v>
      </c>
      <c r="F38" s="88" t="s">
        <v>90</v>
      </c>
      <c r="G38" s="115" t="s">
        <v>40</v>
      </c>
      <c r="H38" s="158" t="s">
        <v>224</v>
      </c>
      <c r="I38" s="110" t="str">
        <f t="shared" si="2"/>
        <v>Mantenimiento del control</v>
      </c>
      <c r="J38" s="104">
        <f>+IF(G38="Si",60,IF(G38="En proceso",50,40))</f>
        <v>60</v>
      </c>
      <c r="K38" s="104">
        <v>0.31</v>
      </c>
      <c r="L38" s="104">
        <f t="shared" si="3"/>
        <v>60.31</v>
      </c>
    </row>
    <row r="39" spans="1:32" s="49" customFormat="1" ht="94.5" x14ac:dyDescent="0.25">
      <c r="A39" s="102" t="str">
        <f t="shared" ref="A39:A42" si="9">5&amp;E39</f>
        <v>5b</v>
      </c>
      <c r="B39" s="260"/>
      <c r="C39" s="248"/>
      <c r="D39" s="263"/>
      <c r="E39" s="82" t="s">
        <v>38</v>
      </c>
      <c r="F39" s="84" t="s">
        <v>91</v>
      </c>
      <c r="G39" s="113" t="s">
        <v>52</v>
      </c>
      <c r="H39" s="159" t="s">
        <v>235</v>
      </c>
      <c r="I39" s="107" t="str">
        <f t="shared" si="2"/>
        <v>Oportunidad de mejora</v>
      </c>
      <c r="J39" s="104">
        <f>+IF(G39="Si",60,IF(G39="En proceso",50,40))</f>
        <v>50</v>
      </c>
      <c r="K39" s="104">
        <v>0.32300000000000001</v>
      </c>
      <c r="L39" s="104">
        <f t="shared" si="3"/>
        <v>50.323</v>
      </c>
    </row>
    <row r="40" spans="1:32" s="49" customFormat="1" ht="78.75" x14ac:dyDescent="0.25">
      <c r="A40" s="102" t="str">
        <f t="shared" si="9"/>
        <v>5c</v>
      </c>
      <c r="B40" s="260"/>
      <c r="C40" s="248"/>
      <c r="D40" s="263"/>
      <c r="E40" s="82" t="s">
        <v>42</v>
      </c>
      <c r="F40" s="84" t="s">
        <v>92</v>
      </c>
      <c r="G40" s="113" t="s">
        <v>52</v>
      </c>
      <c r="H40" s="159" t="s">
        <v>225</v>
      </c>
      <c r="I40" s="107" t="str">
        <f t="shared" si="2"/>
        <v>Oportunidad de mejora</v>
      </c>
      <c r="J40" s="104">
        <f>+IF(G40="Si",60,IF(G40="En proceso",50,40))</f>
        <v>50</v>
      </c>
      <c r="K40" s="104">
        <v>0.32400000000000001</v>
      </c>
      <c r="L40" s="104">
        <f t="shared" si="3"/>
        <v>50.323999999999998</v>
      </c>
    </row>
    <row r="41" spans="1:32" s="49" customFormat="1" ht="94.5" x14ac:dyDescent="0.25">
      <c r="A41" s="102" t="str">
        <f t="shared" si="9"/>
        <v>5d</v>
      </c>
      <c r="B41" s="260"/>
      <c r="C41" s="248"/>
      <c r="D41" s="263"/>
      <c r="E41" s="82" t="s">
        <v>44</v>
      </c>
      <c r="F41" s="84" t="s">
        <v>93</v>
      </c>
      <c r="G41" s="113" t="s">
        <v>40</v>
      </c>
      <c r="H41" s="159" t="s">
        <v>94</v>
      </c>
      <c r="I41" s="107" t="str">
        <f t="shared" si="2"/>
        <v>Mantenimiento del control</v>
      </c>
      <c r="J41" s="104">
        <f>+IF(G41="Si",60,IF(G41="En proceso",50,40))</f>
        <v>60</v>
      </c>
      <c r="K41" s="104">
        <v>0.32500000000000001</v>
      </c>
      <c r="L41" s="104">
        <f t="shared" si="3"/>
        <v>60.325000000000003</v>
      </c>
    </row>
    <row r="42" spans="1:32" s="49" customFormat="1" ht="79.5" thickBot="1" x14ac:dyDescent="0.3">
      <c r="A42" s="102" t="str">
        <f t="shared" si="9"/>
        <v>5e</v>
      </c>
      <c r="B42" s="261"/>
      <c r="C42" s="249"/>
      <c r="D42" s="264"/>
      <c r="E42" s="85" t="s">
        <v>47</v>
      </c>
      <c r="F42" s="86" t="s">
        <v>95</v>
      </c>
      <c r="G42" s="114" t="s">
        <v>40</v>
      </c>
      <c r="H42" s="160" t="s">
        <v>236</v>
      </c>
      <c r="I42" s="108" t="str">
        <f t="shared" si="2"/>
        <v>Mantenimiento del control</v>
      </c>
      <c r="J42" s="104">
        <f>+IF(G42="Si",60,IF(G42="En proceso",50,40))</f>
        <v>60</v>
      </c>
      <c r="K42" s="104">
        <v>0.32600000000000001</v>
      </c>
      <c r="L42" s="104">
        <f t="shared" si="3"/>
        <v>60.326000000000001</v>
      </c>
    </row>
    <row r="43" spans="1:32" s="49" customFormat="1" ht="63" x14ac:dyDescent="0.25">
      <c r="A43" s="102" t="str">
        <f>6&amp;E43</f>
        <v>6a</v>
      </c>
      <c r="B43" s="219" t="s">
        <v>96</v>
      </c>
      <c r="C43" s="250" t="s">
        <v>97</v>
      </c>
      <c r="D43" s="216" t="s">
        <v>98</v>
      </c>
      <c r="E43" s="80" t="s">
        <v>34</v>
      </c>
      <c r="F43" s="81" t="s">
        <v>99</v>
      </c>
      <c r="G43" s="111" t="s">
        <v>40</v>
      </c>
      <c r="H43" s="161" t="s">
        <v>100</v>
      </c>
      <c r="I43" s="103" t="str">
        <f t="shared" si="2"/>
        <v>Mantenimiento del control</v>
      </c>
      <c r="J43" s="104">
        <f t="shared" ref="J43:J49" si="10">+IF(G43="Si",80,IF(G43="En proceso",70,60))</f>
        <v>80</v>
      </c>
      <c r="K43" s="104">
        <v>0.41199999999999998</v>
      </c>
      <c r="L43" s="104">
        <f t="shared" si="3"/>
        <v>80.412000000000006</v>
      </c>
    </row>
    <row r="44" spans="1:32" s="49" customFormat="1" ht="78.75" x14ac:dyDescent="0.25">
      <c r="A44" s="102" t="str">
        <f t="shared" ref="A44:A49" si="11">6&amp;E44</f>
        <v>6b</v>
      </c>
      <c r="B44" s="220"/>
      <c r="C44" s="251"/>
      <c r="D44" s="217"/>
      <c r="E44" s="82" t="s">
        <v>38</v>
      </c>
      <c r="F44" s="84" t="s">
        <v>101</v>
      </c>
      <c r="G44" s="113" t="s">
        <v>40</v>
      </c>
      <c r="H44" s="159" t="s">
        <v>102</v>
      </c>
      <c r="I44" s="107" t="str">
        <f t="shared" si="2"/>
        <v>Mantenimiento del control</v>
      </c>
      <c r="J44" s="104">
        <f t="shared" si="10"/>
        <v>80</v>
      </c>
      <c r="K44" s="104">
        <v>0.4123</v>
      </c>
      <c r="L44" s="104">
        <f t="shared" si="3"/>
        <v>80.412300000000002</v>
      </c>
    </row>
    <row r="45" spans="1:32" s="49" customFormat="1" ht="47.25" x14ac:dyDescent="0.25">
      <c r="A45" s="102" t="str">
        <f t="shared" si="11"/>
        <v>6c</v>
      </c>
      <c r="B45" s="220"/>
      <c r="C45" s="251"/>
      <c r="D45" s="217"/>
      <c r="E45" s="82" t="s">
        <v>42</v>
      </c>
      <c r="F45" s="84" t="s">
        <v>103</v>
      </c>
      <c r="G45" s="113" t="s">
        <v>40</v>
      </c>
      <c r="H45" s="159" t="s">
        <v>104</v>
      </c>
      <c r="I45" s="107" t="str">
        <f t="shared" si="2"/>
        <v>Mantenimiento del control</v>
      </c>
      <c r="J45" s="104">
        <f t="shared" si="10"/>
        <v>80</v>
      </c>
      <c r="K45" s="104">
        <v>0.41233999999999998</v>
      </c>
      <c r="L45" s="104">
        <f t="shared" si="3"/>
        <v>80.41234</v>
      </c>
    </row>
    <row r="46" spans="1:32" s="49" customFormat="1" ht="31.5" x14ac:dyDescent="0.25">
      <c r="A46" s="102" t="str">
        <f t="shared" si="11"/>
        <v>6d</v>
      </c>
      <c r="B46" s="220"/>
      <c r="C46" s="251"/>
      <c r="D46" s="217"/>
      <c r="E46" s="82" t="s">
        <v>44</v>
      </c>
      <c r="F46" s="84" t="s">
        <v>105</v>
      </c>
      <c r="G46" s="113" t="s">
        <v>36</v>
      </c>
      <c r="H46" s="159" t="s">
        <v>106</v>
      </c>
      <c r="I46" s="107" t="str">
        <f t="shared" si="2"/>
        <v>Deficiencia de control</v>
      </c>
      <c r="J46" s="104">
        <f t="shared" si="10"/>
        <v>60</v>
      </c>
      <c r="K46" s="104">
        <v>0.41234500000000002</v>
      </c>
      <c r="L46" s="104">
        <f t="shared" si="3"/>
        <v>60.412345000000002</v>
      </c>
    </row>
    <row r="47" spans="1:32" s="49" customFormat="1" ht="63" x14ac:dyDescent="0.25">
      <c r="A47" s="102" t="str">
        <f t="shared" si="11"/>
        <v>6e</v>
      </c>
      <c r="B47" s="220"/>
      <c r="C47" s="251"/>
      <c r="D47" s="217"/>
      <c r="E47" s="82" t="s">
        <v>47</v>
      </c>
      <c r="F47" s="84" t="s">
        <v>107</v>
      </c>
      <c r="G47" s="113" t="s">
        <v>52</v>
      </c>
      <c r="H47" s="159" t="s">
        <v>108</v>
      </c>
      <c r="I47" s="107" t="str">
        <f t="shared" si="2"/>
        <v>Oportunidad de mejora</v>
      </c>
      <c r="J47" s="104">
        <f t="shared" si="10"/>
        <v>70</v>
      </c>
      <c r="K47" s="104">
        <v>0.41234559999999998</v>
      </c>
      <c r="L47" s="104">
        <f t="shared" si="3"/>
        <v>70.412345599999995</v>
      </c>
    </row>
    <row r="48" spans="1:32" s="49" customFormat="1" ht="63" x14ac:dyDescent="0.25">
      <c r="A48" s="102" t="str">
        <f t="shared" si="11"/>
        <v>6f</v>
      </c>
      <c r="B48" s="220"/>
      <c r="C48" s="251"/>
      <c r="D48" s="217"/>
      <c r="E48" s="82" t="s">
        <v>50</v>
      </c>
      <c r="F48" s="84" t="s">
        <v>109</v>
      </c>
      <c r="G48" s="113" t="s">
        <v>52</v>
      </c>
      <c r="H48" s="159" t="s">
        <v>110</v>
      </c>
      <c r="I48" s="107" t="str">
        <f t="shared" si="2"/>
        <v>Oportunidad de mejora</v>
      </c>
      <c r="J48" s="104">
        <f t="shared" si="10"/>
        <v>70</v>
      </c>
      <c r="K48" s="104">
        <v>0.41234567</v>
      </c>
      <c r="L48" s="104">
        <f t="shared" si="3"/>
        <v>70.412345669999993</v>
      </c>
    </row>
    <row r="49" spans="1:17" s="49" customFormat="1" ht="48" thickBot="1" x14ac:dyDescent="0.3">
      <c r="A49" s="102" t="str">
        <f t="shared" si="11"/>
        <v>6g</v>
      </c>
      <c r="B49" s="221"/>
      <c r="C49" s="252"/>
      <c r="D49" s="218"/>
      <c r="E49" s="85" t="s">
        <v>53</v>
      </c>
      <c r="F49" s="86" t="s">
        <v>111</v>
      </c>
      <c r="G49" s="114" t="s">
        <v>40</v>
      </c>
      <c r="H49" s="160" t="s">
        <v>112</v>
      </c>
      <c r="I49" s="108" t="str">
        <f t="shared" si="2"/>
        <v>Mantenimiento del control</v>
      </c>
      <c r="J49" s="104">
        <f t="shared" si="10"/>
        <v>80</v>
      </c>
      <c r="K49" s="104">
        <v>0.41234567799999999</v>
      </c>
      <c r="L49" s="104">
        <f t="shared" si="3"/>
        <v>80.412345677999994</v>
      </c>
    </row>
    <row r="50" spans="1:17" s="49" customFormat="1" ht="63" x14ac:dyDescent="0.25">
      <c r="A50" s="102" t="str">
        <f>7&amp;E50</f>
        <v>7a</v>
      </c>
      <c r="B50" s="225" t="s">
        <v>113</v>
      </c>
      <c r="C50" s="253" t="s">
        <v>114</v>
      </c>
      <c r="D50" s="222" t="s">
        <v>115</v>
      </c>
      <c r="E50" s="80" t="s">
        <v>34</v>
      </c>
      <c r="F50" s="81" t="s">
        <v>116</v>
      </c>
      <c r="G50" s="111" t="s">
        <v>52</v>
      </c>
      <c r="H50" s="161" t="s">
        <v>117</v>
      </c>
      <c r="I50" s="103" t="str">
        <f t="shared" si="2"/>
        <v>Oportunidad de mejora</v>
      </c>
      <c r="J50" s="104">
        <f>+IF(G50="Si",120,IF(G50="En proceso",100,80))</f>
        <v>100</v>
      </c>
      <c r="K50" s="104">
        <v>0.85099999999999998</v>
      </c>
      <c r="L50" s="104">
        <f t="shared" si="3"/>
        <v>100.851</v>
      </c>
    </row>
    <row r="51" spans="1:17" s="49" customFormat="1" ht="94.5" x14ac:dyDescent="0.25">
      <c r="A51" s="102" t="str">
        <f t="shared" ref="A51:A53" si="12">7&amp;E51</f>
        <v>7d</v>
      </c>
      <c r="B51" s="226"/>
      <c r="C51" s="254"/>
      <c r="D51" s="223"/>
      <c r="E51" s="82" t="s">
        <v>44</v>
      </c>
      <c r="F51" s="84" t="s">
        <v>118</v>
      </c>
      <c r="G51" s="113" t="s">
        <v>40</v>
      </c>
      <c r="H51" s="159" t="s">
        <v>226</v>
      </c>
      <c r="I51" s="107" t="str">
        <f t="shared" si="2"/>
        <v>Mantenimiento del control</v>
      </c>
      <c r="J51" s="104">
        <f t="shared" ref="J51:J59" si="13">+IF(G51="Si",120,IF(G51="En proceso",100,80))</f>
        <v>120</v>
      </c>
      <c r="K51" s="104">
        <v>0.85119999999999996</v>
      </c>
      <c r="L51" s="104">
        <f t="shared" si="3"/>
        <v>120.85120000000001</v>
      </c>
    </row>
    <row r="52" spans="1:17" s="49" customFormat="1" ht="63" x14ac:dyDescent="0.25">
      <c r="A52" s="102" t="str">
        <f t="shared" si="12"/>
        <v>7f</v>
      </c>
      <c r="B52" s="226"/>
      <c r="C52" s="254"/>
      <c r="D52" s="223"/>
      <c r="E52" s="82" t="s">
        <v>50</v>
      </c>
      <c r="F52" s="84" t="s">
        <v>119</v>
      </c>
      <c r="G52" s="113" t="s">
        <v>40</v>
      </c>
      <c r="H52" s="159" t="s">
        <v>120</v>
      </c>
      <c r="I52" s="107" t="str">
        <f t="shared" si="2"/>
        <v>Mantenimiento del control</v>
      </c>
      <c r="J52" s="104">
        <f t="shared" si="13"/>
        <v>120</v>
      </c>
      <c r="K52" s="104">
        <v>0.85123000000000004</v>
      </c>
      <c r="L52" s="104">
        <f t="shared" si="3"/>
        <v>120.85123</v>
      </c>
    </row>
    <row r="53" spans="1:17" s="49" customFormat="1" ht="111" thickBot="1" x14ac:dyDescent="0.3">
      <c r="A53" s="102" t="str">
        <f t="shared" si="12"/>
        <v>7g</v>
      </c>
      <c r="B53" s="227"/>
      <c r="C53" s="255"/>
      <c r="D53" s="224"/>
      <c r="E53" s="85" t="s">
        <v>53</v>
      </c>
      <c r="F53" s="86" t="s">
        <v>121</v>
      </c>
      <c r="G53" s="114" t="s">
        <v>40</v>
      </c>
      <c r="H53" s="160" t="s">
        <v>122</v>
      </c>
      <c r="I53" s="108" t="str">
        <f t="shared" si="2"/>
        <v>Mantenimiento del control</v>
      </c>
      <c r="J53" s="104">
        <f t="shared" si="13"/>
        <v>120</v>
      </c>
      <c r="K53" s="104">
        <v>0.85123400000000005</v>
      </c>
      <c r="L53" s="104">
        <f t="shared" si="3"/>
        <v>120.85123400000001</v>
      </c>
    </row>
    <row r="54" spans="1:17" s="49" customFormat="1" ht="102.75" customHeight="1" thickBot="1" x14ac:dyDescent="0.3">
      <c r="A54" s="102" t="str">
        <f>8&amp;E54</f>
        <v>8h</v>
      </c>
      <c r="B54" s="164" t="s">
        <v>123</v>
      </c>
      <c r="C54" s="165" t="s">
        <v>114</v>
      </c>
      <c r="D54" s="76" t="s">
        <v>124</v>
      </c>
      <c r="E54" s="80" t="s">
        <v>55</v>
      </c>
      <c r="F54" s="81" t="s">
        <v>125</v>
      </c>
      <c r="G54" s="111" t="s">
        <v>40</v>
      </c>
      <c r="H54" s="161" t="s">
        <v>126</v>
      </c>
      <c r="I54" s="103" t="str">
        <f t="shared" si="2"/>
        <v>Mantenimiento del control</v>
      </c>
      <c r="J54" s="104">
        <f t="shared" si="13"/>
        <v>120</v>
      </c>
      <c r="K54" s="104">
        <v>0.85123450000000001</v>
      </c>
      <c r="L54" s="104">
        <f t="shared" si="3"/>
        <v>120.8512345</v>
      </c>
    </row>
    <row r="55" spans="1:17" s="49" customFormat="1" ht="78.75" x14ac:dyDescent="0.25">
      <c r="A55" s="102" t="str">
        <f>9&amp;E55</f>
        <v>9a</v>
      </c>
      <c r="B55" s="225" t="s">
        <v>127</v>
      </c>
      <c r="C55" s="253" t="s">
        <v>114</v>
      </c>
      <c r="D55" s="222" t="s">
        <v>128</v>
      </c>
      <c r="E55" s="80" t="s">
        <v>34</v>
      </c>
      <c r="F55" s="81" t="s">
        <v>129</v>
      </c>
      <c r="G55" s="111" t="s">
        <v>52</v>
      </c>
      <c r="H55" s="161" t="s">
        <v>229</v>
      </c>
      <c r="I55" s="103" t="str">
        <f t="shared" si="2"/>
        <v>Oportunidad de mejora</v>
      </c>
      <c r="J55" s="104">
        <f t="shared" si="13"/>
        <v>100</v>
      </c>
      <c r="K55" s="109">
        <v>0.85123455999999997</v>
      </c>
      <c r="L55" s="104">
        <f t="shared" si="3"/>
        <v>100.85123455999999</v>
      </c>
      <c r="M55" s="48"/>
      <c r="N55" s="48"/>
      <c r="O55" s="48"/>
      <c r="P55" s="48"/>
      <c r="Q55" s="48"/>
    </row>
    <row r="56" spans="1:17" s="49" customFormat="1" ht="55.5" customHeight="1" thickBot="1" x14ac:dyDescent="0.3">
      <c r="A56" s="102" t="str">
        <f t="shared" ref="A56:A59" si="14">9&amp;E56</f>
        <v>9b</v>
      </c>
      <c r="B56" s="226"/>
      <c r="C56" s="254"/>
      <c r="D56" s="223"/>
      <c r="E56" s="82" t="s">
        <v>38</v>
      </c>
      <c r="F56" s="84" t="s">
        <v>131</v>
      </c>
      <c r="G56" s="113" t="s">
        <v>52</v>
      </c>
      <c r="H56" s="159" t="s">
        <v>132</v>
      </c>
      <c r="I56" s="107" t="str">
        <f t="shared" si="2"/>
        <v>Oportunidad de mejora</v>
      </c>
      <c r="J56" s="104">
        <f t="shared" si="13"/>
        <v>100</v>
      </c>
      <c r="K56" s="109">
        <v>0.851234567</v>
      </c>
      <c r="L56" s="104">
        <f t="shared" si="3"/>
        <v>100.85123456700001</v>
      </c>
      <c r="M56" s="48"/>
      <c r="N56" s="48"/>
      <c r="O56" s="48"/>
      <c r="P56" s="48"/>
      <c r="Q56" s="48"/>
    </row>
    <row r="57" spans="1:17" s="49" customFormat="1" ht="77.25" customHeight="1" thickBot="1" x14ac:dyDescent="0.3">
      <c r="A57" s="102" t="str">
        <f t="shared" si="14"/>
        <v>9c</v>
      </c>
      <c r="B57" s="226"/>
      <c r="C57" s="254"/>
      <c r="D57" s="223"/>
      <c r="E57" s="82" t="s">
        <v>42</v>
      </c>
      <c r="F57" s="84" t="s">
        <v>133</v>
      </c>
      <c r="G57" s="113" t="s">
        <v>52</v>
      </c>
      <c r="H57" s="161" t="s">
        <v>130</v>
      </c>
      <c r="I57" s="107" t="str">
        <f t="shared" si="2"/>
        <v>Oportunidad de mejora</v>
      </c>
      <c r="J57" s="104">
        <f t="shared" si="13"/>
        <v>100</v>
      </c>
      <c r="K57" s="109">
        <v>0.85123456779999995</v>
      </c>
      <c r="L57" s="104">
        <f t="shared" si="3"/>
        <v>100.85123456780001</v>
      </c>
      <c r="M57" s="48"/>
      <c r="N57" s="48"/>
      <c r="O57" s="48"/>
      <c r="P57" s="48"/>
      <c r="Q57" s="48"/>
    </row>
    <row r="58" spans="1:17" s="49" customFormat="1" ht="77.25" customHeight="1" x14ac:dyDescent="0.25">
      <c r="A58" s="102" t="str">
        <f t="shared" si="14"/>
        <v>9d</v>
      </c>
      <c r="B58" s="226"/>
      <c r="C58" s="254"/>
      <c r="D58" s="223"/>
      <c r="E58" s="82" t="s">
        <v>44</v>
      </c>
      <c r="F58" s="84" t="s">
        <v>134</v>
      </c>
      <c r="G58" s="113" t="s">
        <v>52</v>
      </c>
      <c r="H58" s="161" t="s">
        <v>130</v>
      </c>
      <c r="I58" s="107" t="str">
        <f t="shared" si="2"/>
        <v>Oportunidad de mejora</v>
      </c>
      <c r="J58" s="104">
        <f t="shared" si="13"/>
        <v>100</v>
      </c>
      <c r="K58" s="109">
        <v>0.85123456788999996</v>
      </c>
      <c r="L58" s="104">
        <f t="shared" si="3"/>
        <v>100.85123456789</v>
      </c>
      <c r="M58" s="48"/>
      <c r="N58" s="48"/>
      <c r="O58" s="48"/>
      <c r="P58" s="48"/>
      <c r="Q58" s="48"/>
    </row>
    <row r="59" spans="1:17" s="49" customFormat="1" ht="77.25" customHeight="1" thickBot="1" x14ac:dyDescent="0.3">
      <c r="A59" s="102" t="str">
        <f t="shared" si="14"/>
        <v>9e</v>
      </c>
      <c r="B59" s="227"/>
      <c r="C59" s="254"/>
      <c r="D59" s="240"/>
      <c r="E59" s="85" t="s">
        <v>47</v>
      </c>
      <c r="F59" s="86" t="s">
        <v>135</v>
      </c>
      <c r="G59" s="114" t="s">
        <v>40</v>
      </c>
      <c r="H59" s="160" t="s">
        <v>136</v>
      </c>
      <c r="I59" s="108" t="str">
        <f t="shared" si="2"/>
        <v>Mantenimiento del control</v>
      </c>
      <c r="J59" s="104">
        <f t="shared" si="13"/>
        <v>120</v>
      </c>
      <c r="K59" s="109">
        <v>0.85123456789100005</v>
      </c>
      <c r="L59" s="104">
        <f t="shared" si="3"/>
        <v>120.851234567891</v>
      </c>
      <c r="M59" s="48"/>
      <c r="N59" s="48"/>
      <c r="O59" s="48"/>
      <c r="P59" s="48"/>
      <c r="Q59" s="48"/>
    </row>
  </sheetData>
  <sheetProtection algorithmName="SHA-512" hashValue="3f8q67IhQ+195mCCu45JxrnKZ5NQYpYn/4DMJ1qNlLoW+1h5DdlwjNz0RDsqicEeH5OxPhf5j92R5BAeBl6Iaw==" saltValue="5vY6GrPfNxnRatmVvJafnA==" spinCount="100000" sheet="1" objects="1" scenarios="1" formatCells="0" formatColumns="0" formatRows="0"/>
  <mergeCells count="25">
    <mergeCell ref="D55:D59"/>
    <mergeCell ref="B55:B59"/>
    <mergeCell ref="C16:C27"/>
    <mergeCell ref="C28:C31"/>
    <mergeCell ref="C38:C42"/>
    <mergeCell ref="C43:C49"/>
    <mergeCell ref="C50:C53"/>
    <mergeCell ref="C32:C34"/>
    <mergeCell ref="C35:C37"/>
    <mergeCell ref="C55:C59"/>
    <mergeCell ref="D32:D34"/>
    <mergeCell ref="B32:B34"/>
    <mergeCell ref="B35:B37"/>
    <mergeCell ref="D35:D37"/>
    <mergeCell ref="B38:B42"/>
    <mergeCell ref="D38:D42"/>
    <mergeCell ref="B14:I14"/>
    <mergeCell ref="D43:D49"/>
    <mergeCell ref="B43:B49"/>
    <mergeCell ref="D50:D53"/>
    <mergeCell ref="B50:B53"/>
    <mergeCell ref="D16:D27"/>
    <mergeCell ref="B16:B27"/>
    <mergeCell ref="B28:B31"/>
    <mergeCell ref="D28:D31"/>
  </mergeCells>
  <dataValidations count="2">
    <dataValidation type="list" allowBlank="1" showInputMessage="1" showErrorMessage="1" sqref="G55:G59 G16:G53">
      <formula1>"Si, No, En proceso"</formula1>
    </dataValidation>
    <dataValidation type="list" allowBlank="1" showInputMessage="1" showErrorMessage="1" sqref="G54">
      <formula1>"Si, No"</formula1>
    </dataValidation>
  </dataValidations>
  <pageMargins left="0.7" right="0.7" top="0.75" bottom="0.75" header="0.3" footer="0.3"/>
  <pageSetup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4"/>
  <sheetViews>
    <sheetView zoomScale="80" zoomScaleNormal="80" workbookViewId="0">
      <selection activeCell="K61" sqref="K61"/>
    </sheetView>
  </sheetViews>
  <sheetFormatPr baseColWidth="10" defaultColWidth="11.42578125" defaultRowHeight="15" x14ac:dyDescent="0.25"/>
  <cols>
    <col min="3" max="3" width="22.85546875" customWidth="1"/>
    <col min="4" max="4" width="22.42578125" customWidth="1"/>
    <col min="5" max="5" width="53.42578125" customWidth="1"/>
    <col min="7" max="7" width="28.28515625" customWidth="1"/>
    <col min="8" max="8" width="4.85546875" customWidth="1"/>
    <col min="9" max="9" width="15.28515625" customWidth="1"/>
    <col min="10" max="10" width="22.42578125" customWidth="1"/>
    <col min="11" max="29" width="11.42578125" style="1"/>
  </cols>
  <sheetData>
    <row r="1" spans="1:11" x14ac:dyDescent="0.2">
      <c r="A1" s="1"/>
      <c r="B1" s="1"/>
      <c r="C1" s="1"/>
      <c r="D1" s="1"/>
      <c r="E1" s="1"/>
      <c r="F1" s="1"/>
      <c r="G1" s="1"/>
      <c r="H1" s="1"/>
      <c r="I1" s="1"/>
      <c r="J1" s="1"/>
    </row>
    <row r="2" spans="1:11" s="1" customFormat="1" x14ac:dyDescent="0.2"/>
    <row r="3" spans="1:11" s="1" customFormat="1" x14ac:dyDescent="0.2"/>
    <row r="4" spans="1:11" x14ac:dyDescent="0.2">
      <c r="A4" s="1"/>
      <c r="B4" s="1"/>
      <c r="C4" s="1"/>
      <c r="D4" s="1"/>
      <c r="E4" s="1"/>
      <c r="F4" s="1"/>
      <c r="G4" s="1"/>
      <c r="H4" s="1"/>
      <c r="I4" s="1"/>
      <c r="J4" s="1"/>
    </row>
    <row r="5" spans="1:11" x14ac:dyDescent="0.2">
      <c r="A5" s="1"/>
      <c r="B5" s="1"/>
      <c r="C5" s="1"/>
      <c r="D5" s="1"/>
      <c r="E5" s="1"/>
      <c r="F5" s="1"/>
      <c r="G5" s="1"/>
      <c r="H5" s="1"/>
      <c r="I5" s="1"/>
      <c r="J5" s="1"/>
    </row>
    <row r="6" spans="1:11" ht="15.95" thickBot="1" x14ac:dyDescent="0.25">
      <c r="A6" s="1"/>
      <c r="B6" s="1"/>
      <c r="C6" s="1"/>
      <c r="D6" s="1"/>
      <c r="E6" s="1"/>
      <c r="F6" s="1"/>
      <c r="G6" s="1"/>
      <c r="H6" s="1"/>
      <c r="I6" s="1"/>
      <c r="J6" s="1"/>
    </row>
    <row r="7" spans="1:11" ht="26.25" thickBot="1" x14ac:dyDescent="0.3">
      <c r="A7" s="1"/>
      <c r="B7" s="1"/>
      <c r="C7" s="265" t="s">
        <v>137</v>
      </c>
      <c r="D7" s="266"/>
      <c r="E7" s="266"/>
      <c r="F7" s="266"/>
      <c r="G7" s="266"/>
      <c r="H7" s="266"/>
      <c r="I7" s="266"/>
      <c r="J7" s="266"/>
      <c r="K7" s="267"/>
    </row>
    <row r="8" spans="1:11" s="1" customFormat="1" ht="15.95" thickBot="1" x14ac:dyDescent="0.25">
      <c r="C8" s="39"/>
      <c r="D8" s="39"/>
      <c r="E8" s="40"/>
      <c r="F8" s="40"/>
      <c r="G8" s="40"/>
      <c r="H8" s="40"/>
      <c r="I8" s="50"/>
      <c r="J8" s="40"/>
      <c r="K8" s="40"/>
    </row>
    <row r="9" spans="1:11" ht="21" thickBot="1" x14ac:dyDescent="0.3">
      <c r="A9" s="1"/>
      <c r="B9" s="1"/>
      <c r="C9" s="174" t="s">
        <v>15</v>
      </c>
      <c r="D9" s="175"/>
      <c r="E9" s="175" t="s">
        <v>16</v>
      </c>
      <c r="F9" s="186"/>
      <c r="G9" s="40"/>
      <c r="H9" s="40"/>
      <c r="I9" s="50"/>
      <c r="J9" s="40"/>
      <c r="K9" s="40"/>
    </row>
    <row r="10" spans="1:11" ht="54" customHeight="1" x14ac:dyDescent="0.2">
      <c r="A10" s="1"/>
      <c r="B10" s="1"/>
      <c r="C10" s="187" t="s">
        <v>17</v>
      </c>
      <c r="D10" s="188"/>
      <c r="E10" s="189" t="s">
        <v>18</v>
      </c>
      <c r="F10" s="190"/>
      <c r="G10" s="41"/>
      <c r="H10" s="42">
        <v>1</v>
      </c>
      <c r="I10" s="50"/>
      <c r="J10" s="40"/>
      <c r="K10" s="40"/>
    </row>
    <row r="11" spans="1:11" ht="46.5" customHeight="1" x14ac:dyDescent="0.25">
      <c r="A11" s="1"/>
      <c r="B11" s="1"/>
      <c r="C11" s="176" t="s">
        <v>19</v>
      </c>
      <c r="D11" s="177"/>
      <c r="E11" s="178" t="s">
        <v>138</v>
      </c>
      <c r="F11" s="179"/>
      <c r="G11" s="43" t="s">
        <v>139</v>
      </c>
      <c r="H11" s="42">
        <v>0.75</v>
      </c>
      <c r="I11" s="50"/>
      <c r="J11" s="40"/>
      <c r="K11" s="40"/>
    </row>
    <row r="12" spans="1:11" ht="70.5" customHeight="1" thickBot="1" x14ac:dyDescent="0.25">
      <c r="A12" s="1"/>
      <c r="B12" s="1"/>
      <c r="C12" s="180" t="s">
        <v>21</v>
      </c>
      <c r="D12" s="181"/>
      <c r="E12" s="182" t="s">
        <v>140</v>
      </c>
      <c r="F12" s="183"/>
      <c r="G12" s="44"/>
      <c r="H12" s="42">
        <v>0.25</v>
      </c>
      <c r="I12" s="50"/>
      <c r="J12" s="40"/>
      <c r="K12" s="40"/>
    </row>
    <row r="13" spans="1:11" s="1" customFormat="1" x14ac:dyDescent="0.2"/>
    <row r="14" spans="1:11" s="1" customFormat="1" x14ac:dyDescent="0.2"/>
    <row r="15" spans="1:11" s="1" customFormat="1" x14ac:dyDescent="0.2"/>
    <row r="16" spans="1:11" s="1" customFormat="1" ht="15.95" thickBot="1" x14ac:dyDescent="0.25"/>
    <row r="17" spans="1:10" x14ac:dyDescent="0.25">
      <c r="A17" s="1"/>
      <c r="B17" s="1"/>
      <c r="C17" s="273" t="s">
        <v>141</v>
      </c>
      <c r="D17" s="275" t="s">
        <v>142</v>
      </c>
      <c r="E17" s="276"/>
      <c r="F17" s="277" t="s">
        <v>143</v>
      </c>
      <c r="G17" s="279" t="s">
        <v>144</v>
      </c>
      <c r="H17" s="38"/>
      <c r="I17" s="268" t="s">
        <v>145</v>
      </c>
      <c r="J17" s="268" t="s">
        <v>146</v>
      </c>
    </row>
    <row r="18" spans="1:10" ht="36" customHeight="1" thickBot="1" x14ac:dyDescent="0.3">
      <c r="A18" s="1"/>
      <c r="B18" s="1"/>
      <c r="C18" s="274"/>
      <c r="D18" s="116" t="s">
        <v>147</v>
      </c>
      <c r="E18" s="117" t="s">
        <v>27</v>
      </c>
      <c r="F18" s="278"/>
      <c r="G18" s="280"/>
      <c r="H18" s="38"/>
      <c r="I18" s="269"/>
      <c r="J18" s="269"/>
    </row>
    <row r="19" spans="1:10" ht="65.25" customHeight="1" x14ac:dyDescent="0.25">
      <c r="A19" s="1"/>
      <c r="B19" s="1"/>
      <c r="C19" s="135">
        <v>1</v>
      </c>
      <c r="D19" s="270" t="s">
        <v>32</v>
      </c>
      <c r="E19" s="118" t="str">
        <f>+IFERROR(INDEX(Hoja1!$E$2:$E$45,MATCH('Análisis Resultados'!C19,Hoja1!$H$2:$H$45,0)),"")</f>
        <v>Documento interno o adopción del MECI actualizado</v>
      </c>
      <c r="F19" s="119" t="str">
        <f>+IFERROR(VLOOKUP(C19,Hoja1!$H$2:$I$45,2,0),"")</f>
        <v>No</v>
      </c>
      <c r="G19" s="120" t="str">
        <f>+IF(F19="Si","Existe requerimiento pero se requiere actividades  dirigidas a su mantenimiento dentro del marco de las lineas de defensa.",IF(F19="En proceso","Se encuentra en proceso, pero requiere continuar con acciones dirigidas a contar con dicho aspecto de control.","No se encuentra el aspecto  por lo tanto la entidad debera generar acciones dirigidas a que se cumpla con el requerimiento."))</f>
        <v>No se encuentra el aspecto  por lo tanto la entidad debera generar acciones dirigidas a que se cumpla con el requerimiento.</v>
      </c>
      <c r="H19" s="18"/>
      <c r="I19" s="136">
        <f>+IF(F19="Si",1,IF(F19="En proceso",0.5,0))</f>
        <v>0</v>
      </c>
      <c r="J19" s="283">
        <f>+AVERAGE(I19:I30)</f>
        <v>0.79166666666666663</v>
      </c>
    </row>
    <row r="20" spans="1:10" ht="45" x14ac:dyDescent="0.25">
      <c r="A20" s="1"/>
      <c r="B20" s="1"/>
      <c r="C20" s="135">
        <v>2</v>
      </c>
      <c r="D20" s="271"/>
      <c r="E20" s="121" t="str">
        <f>+IFERROR(INDEX(Hoja1!$E$2:$E$45,MATCH('Análisis Resultados'!C20,Hoja1!$H$2:$H$45,0)),"")</f>
        <v>Procesos de desvinculación de servidores de acuerdo con lo previsto en la Constitución Política y las leyes</v>
      </c>
      <c r="F20" s="122" t="str">
        <f>+IFERROR(VLOOKUP(C20,Hoja1!$H$2:$I$45,2,0),"")</f>
        <v>No</v>
      </c>
      <c r="G20" s="123" t="str">
        <f t="shared" ref="G20:G62" si="0">+IF(F20="Si","Existe requerimiento pero se requiere actividades  dirigidas a su mantenimiento dentro del marco de las lineas de defensa.",IF(F20="En proceso","Se encuentra en proceso, pero requiere continuar con acciones dirigidas a contar con dicho aspecto de control.","No se encuentra el aspecto  por lo tanto la entidad debera generar acciones dirigidas a que se cumpla con el requerimiento."))</f>
        <v>No se encuentra el aspecto  por lo tanto la entidad debera generar acciones dirigidas a que se cumpla con el requerimiento.</v>
      </c>
      <c r="H20" s="18"/>
      <c r="I20" s="137">
        <f t="shared" ref="I20:I62" si="1">+IF(F20="Si",1,IF(F20="En proceso",0.5,0))</f>
        <v>0</v>
      </c>
      <c r="J20" s="284"/>
    </row>
    <row r="21" spans="1:10" ht="42.75" x14ac:dyDescent="0.25">
      <c r="A21" s="1"/>
      <c r="B21" s="1"/>
      <c r="C21" s="135">
        <v>3</v>
      </c>
      <c r="D21" s="271"/>
      <c r="E21" s="121" t="str">
        <f>+IFERROR(INDEX(Hoja1!$E$2:$E$45,MATCH('Análisis Resultados'!C21,Hoja1!$H$2:$H$45,0)),"")</f>
        <v>Procesos de inducción, capacitación y bienestar social para sus servidores públicos, de manera directa o en asociación con otras entidades municipales</v>
      </c>
      <c r="F21" s="122" t="str">
        <f>+IFERROR(VLOOKUP(C21,Hoja1!$H$2:$I$45,2,0),"")</f>
        <v>En proceso</v>
      </c>
      <c r="G21" s="123" t="str">
        <f t="shared" si="0"/>
        <v>Se encuentra en proceso, pero requiere continuar con acciones dirigidas a contar con dicho aspecto de control.</v>
      </c>
      <c r="H21" s="18"/>
      <c r="I21" s="137">
        <f t="shared" si="1"/>
        <v>0.5</v>
      </c>
      <c r="J21" s="284"/>
    </row>
    <row r="22" spans="1:10" ht="56.25" customHeight="1" x14ac:dyDescent="0.25">
      <c r="A22" s="1"/>
      <c r="B22" s="1"/>
      <c r="C22" s="135">
        <v>4</v>
      </c>
      <c r="D22" s="271"/>
      <c r="E22" s="121" t="str">
        <f>+IFERROR(INDEX(Hoja1!$E$2:$E$45,MATCH('Análisis Resultados'!C22,Hoja1!$H$2:$H$45,0)),"")</f>
        <v>Un documento tal como un código de ética, integridad u otro que formalice los estándares de conducta, los principios institucionales o los valores del servicio público</v>
      </c>
      <c r="F22" s="122" t="str">
        <f>+IFERROR(VLOOKUP(C22,Hoja1!$H$2:$I$45,2,0),"")</f>
        <v>Si</v>
      </c>
      <c r="G22" s="123" t="str">
        <f t="shared" si="0"/>
        <v>Existe requerimiento pero se requiere actividades  dirigidas a su mantenimiento dentro del marco de las lineas de defensa.</v>
      </c>
      <c r="H22" s="18"/>
      <c r="I22" s="137">
        <f t="shared" si="1"/>
        <v>1</v>
      </c>
      <c r="J22" s="284"/>
    </row>
    <row r="23" spans="1:10" ht="45" x14ac:dyDescent="0.25">
      <c r="A23" s="1"/>
      <c r="B23" s="1"/>
      <c r="C23" s="135">
        <v>5</v>
      </c>
      <c r="D23" s="271"/>
      <c r="E23" s="121" t="str">
        <f>+IFERROR(INDEX(Hoja1!$E$2:$E$45,MATCH('Análisis Resultados'!C23,Hoja1!$H$2:$H$45,0)),"")</f>
        <v>Planes, programas y proyectos de acuerdo con las normas que rigen y atendiendo con su propósito fundamental institucional (misión)</v>
      </c>
      <c r="F23" s="122" t="str">
        <f>+IFERROR(VLOOKUP(C23,Hoja1!$H$2:$I$45,2,0),"")</f>
        <v>Si</v>
      </c>
      <c r="G23" s="123" t="str">
        <f t="shared" si="0"/>
        <v>Existe requerimiento pero se requiere actividades  dirigidas a su mantenimiento dentro del marco de las lineas de defensa.</v>
      </c>
      <c r="H23" s="18"/>
      <c r="I23" s="137">
        <f t="shared" si="1"/>
        <v>1</v>
      </c>
      <c r="J23" s="284"/>
    </row>
    <row r="24" spans="1:10" ht="45" x14ac:dyDescent="0.25">
      <c r="A24" s="1"/>
      <c r="B24" s="1"/>
      <c r="C24" s="135">
        <v>6</v>
      </c>
      <c r="D24" s="271"/>
      <c r="E24" s="121" t="str">
        <f>+IFERROR(INDEX(Hoja1!$E$2:$E$45,MATCH('Análisis Resultados'!C24,Hoja1!$H$2:$H$45,0)),"")</f>
        <v>Una estructura organizacional formalizada (organigrama)</v>
      </c>
      <c r="F24" s="122" t="str">
        <f>+IFERROR(VLOOKUP(C24,Hoja1!$H$2:$I$45,2,0),"")</f>
        <v>Si</v>
      </c>
      <c r="G24" s="123" t="str">
        <f t="shared" si="0"/>
        <v>Existe requerimiento pero se requiere actividades  dirigidas a su mantenimiento dentro del marco de las lineas de defensa.</v>
      </c>
      <c r="H24" s="18"/>
      <c r="I24" s="137">
        <f t="shared" si="1"/>
        <v>1</v>
      </c>
      <c r="J24" s="284"/>
    </row>
    <row r="25" spans="1:10" ht="45" x14ac:dyDescent="0.25">
      <c r="A25" s="1"/>
      <c r="B25" s="1"/>
      <c r="C25" s="135">
        <v>7</v>
      </c>
      <c r="D25" s="271"/>
      <c r="E25" s="121" t="str">
        <f>+IFERROR(INDEX(Hoja1!$E$2:$E$45,MATCH('Análisis Resultados'!C25,Hoja1!$H$2:$H$45,0)),"")</f>
        <v>Un manual de funciones que describa los empleos de la entidad</v>
      </c>
      <c r="F25" s="122" t="str">
        <f>+IFERROR(VLOOKUP(C25,Hoja1!$H$2:$I$45,2,0),"")</f>
        <v>Si</v>
      </c>
      <c r="G25" s="123" t="str">
        <f t="shared" si="0"/>
        <v>Existe requerimiento pero se requiere actividades  dirigidas a su mantenimiento dentro del marco de las lineas de defensa.</v>
      </c>
      <c r="H25" s="18"/>
      <c r="I25" s="137">
        <f t="shared" si="1"/>
        <v>1</v>
      </c>
      <c r="J25" s="284"/>
    </row>
    <row r="26" spans="1:10" ht="45" x14ac:dyDescent="0.25">
      <c r="A26" s="1"/>
      <c r="B26" s="1"/>
      <c r="C26" s="135">
        <v>8</v>
      </c>
      <c r="D26" s="271"/>
      <c r="E26" s="121" t="str">
        <f>+IFERROR(INDEX(Hoja1!$E$2:$E$45,MATCH('Análisis Resultados'!C26,Hoja1!$H$2:$H$45,0)),"")</f>
        <v>La documentación de sus procesos y procedimientos o bien una lista de actividades principales que permitan conocer el estado de su gestión</v>
      </c>
      <c r="F26" s="122" t="str">
        <f>+IFERROR(VLOOKUP(C26,Hoja1!$H$2:$I$45,2,0),"")</f>
        <v>Si</v>
      </c>
      <c r="G26" s="123" t="str">
        <f t="shared" si="0"/>
        <v>Existe requerimiento pero se requiere actividades  dirigidas a su mantenimiento dentro del marco de las lineas de defensa.</v>
      </c>
      <c r="H26" s="18"/>
      <c r="I26" s="137">
        <f t="shared" si="1"/>
        <v>1</v>
      </c>
      <c r="J26" s="284"/>
    </row>
    <row r="27" spans="1:10" ht="45" x14ac:dyDescent="0.25">
      <c r="A27" s="1"/>
      <c r="B27" s="1"/>
      <c r="C27" s="135">
        <v>9</v>
      </c>
      <c r="D27" s="271"/>
      <c r="E27" s="121" t="str">
        <f>+IFERROR(INDEX(Hoja1!$E$2:$E$45,MATCH('Análisis Resultados'!C27,Hoja1!$H$2:$H$45,0)),"")</f>
        <v>Vinculación de los servidores públicos de acuerdo con el marco normativo que les rige (carrera administrativa, libre nombramiento y remoción, entre otros)</v>
      </c>
      <c r="F27" s="122" t="str">
        <f>+IFERROR(VLOOKUP(C27,Hoja1!$H$2:$I$45,2,0),"")</f>
        <v>Si</v>
      </c>
      <c r="G27" s="123" t="str">
        <f t="shared" si="0"/>
        <v>Existe requerimiento pero se requiere actividades  dirigidas a su mantenimiento dentro del marco de las lineas de defensa.</v>
      </c>
      <c r="H27" s="18"/>
      <c r="I27" s="137">
        <f t="shared" si="1"/>
        <v>1</v>
      </c>
      <c r="J27" s="284"/>
    </row>
    <row r="28" spans="1:10" ht="45" x14ac:dyDescent="0.25">
      <c r="A28" s="1"/>
      <c r="B28" s="1"/>
      <c r="C28" s="135">
        <v>10</v>
      </c>
      <c r="D28" s="271"/>
      <c r="E28" s="121" t="str">
        <f>+IFERROR(INDEX(Hoja1!$E$2:$E$45,MATCH('Análisis Resultados'!C28,Hoja1!$H$2:$H$45,0)),"")</f>
        <v>Evaluación a los servidores públicos de acuerdo con el marco normativo que le rige</v>
      </c>
      <c r="F28" s="122" t="str">
        <f>+IFERROR(VLOOKUP(C28,Hoja1!$H$2:$I$45,2,0),"")</f>
        <v>Si</v>
      </c>
      <c r="G28" s="123" t="str">
        <f t="shared" si="0"/>
        <v>Existe requerimiento pero se requiere actividades  dirigidas a su mantenimiento dentro del marco de las lineas de defensa.</v>
      </c>
      <c r="H28" s="18"/>
      <c r="I28" s="137">
        <f t="shared" si="1"/>
        <v>1</v>
      </c>
      <c r="J28" s="284"/>
    </row>
    <row r="29" spans="1:10" ht="45" x14ac:dyDescent="0.25">
      <c r="A29" s="1"/>
      <c r="B29" s="1"/>
      <c r="C29" s="135">
        <v>11</v>
      </c>
      <c r="D29" s="271"/>
      <c r="E29" s="121" t="str">
        <f>+IFERROR(INDEX(Hoja1!$E$2:$E$45,MATCH('Análisis Resultados'!C29,Hoja1!$H$2:$H$45,0)),"")</f>
        <v>Mecanismos de rendición de cuentas a la ciudadanía</v>
      </c>
      <c r="F29" s="122" t="str">
        <f>+IFERROR(VLOOKUP(C29,Hoja1!$H$2:$I$45,2,0),"")</f>
        <v>Si</v>
      </c>
      <c r="G29" s="123" t="str">
        <f>+IF(F29="Si","Existe requerimiento pero se requiere actividades  dirigidas a su mantenimiento dentro del marco de las lineas de defensa.",IF(F29="En proceso","Se encuentra en proceso, pero requiere continuar con acciones dirigidas a contar con dicho aspecto de control.","No se encuentra el aspecto  por lo tanto la entidad debera generar acciones dirigidas a que se cumpla con el requerimiento."))</f>
        <v>Existe requerimiento pero se requiere actividades  dirigidas a su mantenimiento dentro del marco de las lineas de defensa.</v>
      </c>
      <c r="H29" s="18"/>
      <c r="I29" s="137">
        <f t="shared" si="1"/>
        <v>1</v>
      </c>
      <c r="J29" s="284"/>
    </row>
    <row r="30" spans="1:10" ht="45.75" thickBot="1" x14ac:dyDescent="0.3">
      <c r="A30" s="1"/>
      <c r="B30" s="1"/>
      <c r="C30" s="135">
        <v>12</v>
      </c>
      <c r="D30" s="272"/>
      <c r="E30" s="124" t="str">
        <f>+IFERROR(INDEX(Hoja1!$E$2:$E$45,MATCH('Análisis Resultados'!C30,Hoja1!$H$2:$H$45,0)),"")</f>
        <v>Presentación oportuna de sus informes de gestión a las autoridades competentes</v>
      </c>
      <c r="F30" s="125" t="str">
        <f>+IFERROR(VLOOKUP(C30,Hoja1!$H$2:$I$45,2,0),"")</f>
        <v>Si</v>
      </c>
      <c r="G30" s="126" t="str">
        <f t="shared" si="0"/>
        <v>Existe requerimiento pero se requiere actividades  dirigidas a su mantenimiento dentro del marco de las lineas de defensa.</v>
      </c>
      <c r="H30" s="18"/>
      <c r="I30" s="138">
        <f t="shared" si="1"/>
        <v>1</v>
      </c>
      <c r="J30" s="285"/>
    </row>
    <row r="31" spans="1:10" ht="45" customHeight="1" x14ac:dyDescent="0.25">
      <c r="A31" s="1"/>
      <c r="B31" s="1"/>
      <c r="C31" s="135">
        <v>13</v>
      </c>
      <c r="D31" s="297" t="s">
        <v>69</v>
      </c>
      <c r="E31" s="118" t="str">
        <f>+IFERROR(INDEX(Hoja1!$E$2:$E$45,MATCH('Análisis Resultados'!C31,Hoja1!$H$2:$H$45,0)),"")</f>
        <v>La identificación de cambios en su entorno que pueden generar consecuencias negativas en su gestión</v>
      </c>
      <c r="F31" s="119" t="str">
        <f>+IFERROR(VLOOKUP(C31,Hoja1!$H$2:$I$45,2,0),"")</f>
        <v>En proceso</v>
      </c>
      <c r="G31" s="120" t="str">
        <f t="shared" si="0"/>
        <v>Se encuentra en proceso, pero requiere continuar con acciones dirigidas a contar con dicho aspecto de control.</v>
      </c>
      <c r="H31" s="18"/>
      <c r="I31" s="136">
        <f t="shared" si="1"/>
        <v>0.5</v>
      </c>
      <c r="J31" s="281">
        <f>+AVERAGE(I31:I40)</f>
        <v>0.9</v>
      </c>
    </row>
    <row r="32" spans="1:10" ht="57" customHeight="1" x14ac:dyDescent="0.25">
      <c r="A32" s="1"/>
      <c r="B32" s="1"/>
      <c r="C32" s="135">
        <v>14</v>
      </c>
      <c r="D32" s="298"/>
      <c r="E32" s="121" t="str">
        <f>+IFERROR(INDEX(Hoja1!$E$2:$E$45,MATCH('Análisis Resultados'!C32,Hoja1!$H$2:$H$45,0)),"")</f>
        <v>Si su capacidad e infraestructura lo permite, identificación de riesgos asociados a las tecnologías de la información y las comunicaciones</v>
      </c>
      <c r="F32" s="122" t="str">
        <f>+IFERROR(VLOOKUP(C32,Hoja1!$H$2:$I$45,2,0),"")</f>
        <v>En proceso</v>
      </c>
      <c r="G32" s="123" t="str">
        <f t="shared" si="0"/>
        <v>Se encuentra en proceso, pero requiere continuar con acciones dirigidas a contar con dicho aspecto de control.</v>
      </c>
      <c r="H32" s="18"/>
      <c r="I32" s="137">
        <f t="shared" si="1"/>
        <v>0.5</v>
      </c>
      <c r="J32" s="282"/>
    </row>
    <row r="33" spans="1:10" ht="54" customHeight="1" x14ac:dyDescent="0.25">
      <c r="A33" s="1"/>
      <c r="B33" s="1"/>
      <c r="C33" s="135">
        <v>15</v>
      </c>
      <c r="D33" s="298"/>
      <c r="E33" s="121" t="str">
        <f>+IFERROR(INDEX(Hoja1!$E$2:$E$45,MATCH('Análisis Resultados'!C33,Hoja1!$H$2:$H$45,0)),"")</f>
        <v>La identificación de aquellos problemas o aspectos que pueden afectar el cumplimiento de los planes de la entidad y en general su gestión institucional (riesgos)</v>
      </c>
      <c r="F33" s="122" t="str">
        <f>+IFERROR(VLOOKUP(C33,Hoja1!$H$2:$I$45,2,0),"")</f>
        <v>Si</v>
      </c>
      <c r="G33" s="123" t="str">
        <f t="shared" si="0"/>
        <v>Existe requerimiento pero se requiere actividades  dirigidas a su mantenimiento dentro del marco de las lineas de defensa.</v>
      </c>
      <c r="H33" s="18"/>
      <c r="I33" s="137">
        <f t="shared" si="1"/>
        <v>1</v>
      </c>
      <c r="J33" s="282"/>
    </row>
    <row r="34" spans="1:10" ht="45" x14ac:dyDescent="0.25">
      <c r="A34" s="1"/>
      <c r="B34" s="1"/>
      <c r="C34" s="135">
        <v>16</v>
      </c>
      <c r="D34" s="298"/>
      <c r="E34" s="121" t="str">
        <f>+IFERROR(INDEX(Hoja1!$E$2:$E$45,MATCH('Análisis Resultados'!C34,Hoja1!$H$2:$H$45,0)),"")</f>
        <v>La identificación  de los riesgos relacionados con posibles actos de corrupción en el ejercicio de sus funciones</v>
      </c>
      <c r="F34" s="122" t="str">
        <f>+IFERROR(VLOOKUP(C34,Hoja1!$H$2:$I$45,2,0),"")</f>
        <v>Si</v>
      </c>
      <c r="G34" s="123" t="str">
        <f t="shared" si="0"/>
        <v>Existe requerimiento pero se requiere actividades  dirigidas a su mantenimiento dentro del marco de las lineas de defensa.</v>
      </c>
      <c r="H34" s="18"/>
      <c r="I34" s="137">
        <f t="shared" si="1"/>
        <v>1</v>
      </c>
      <c r="J34" s="282"/>
    </row>
    <row r="35" spans="1:10" ht="67.5" customHeight="1" x14ac:dyDescent="0.25">
      <c r="A35" s="1"/>
      <c r="B35" s="1"/>
      <c r="C35" s="135">
        <v>17</v>
      </c>
      <c r="D35" s="298"/>
      <c r="E35" s="121" t="str">
        <f>+IFERROR(INDEX(Hoja1!$E$2:$E$45,MATCH('Análisis Resultados'!C35,Hoja1!$H$2:$H$45,0)),"")</f>
        <v>Hacen seguimiento a los problemas (riesgos)  que pueden afectar el cumplimiento de sus procesos, programas o proyectos a cargo</v>
      </c>
      <c r="F35" s="122" t="str">
        <f>+IFERROR(VLOOKUP(C35,Hoja1!$H$2:$I$45,2,0),"")</f>
        <v>Si</v>
      </c>
      <c r="G35" s="123" t="str">
        <f t="shared" si="0"/>
        <v>Existe requerimiento pero se requiere actividades  dirigidas a su mantenimiento dentro del marco de las lineas de defensa.</v>
      </c>
      <c r="H35" s="18"/>
      <c r="I35" s="137">
        <f t="shared" si="1"/>
        <v>1</v>
      </c>
      <c r="J35" s="282"/>
    </row>
    <row r="36" spans="1:10" ht="45" x14ac:dyDescent="0.25">
      <c r="A36" s="1"/>
      <c r="B36" s="1"/>
      <c r="C36" s="135">
        <v>18</v>
      </c>
      <c r="D36" s="298"/>
      <c r="E36" s="121" t="str">
        <f>+IFERROR(INDEX(Hoja1!$E$2:$E$45,MATCH('Análisis Resultados'!C36,Hoja1!$H$2:$H$45,0)),"")</f>
        <v>Informan de manera periódica a quien corresponda sobre el desempeño de las actividades de gestión de riesgos</v>
      </c>
      <c r="F36" s="122" t="str">
        <f>+IFERROR(VLOOKUP(C36,Hoja1!$H$2:$I$45,2,0),"")</f>
        <v>Si</v>
      </c>
      <c r="G36" s="123" t="str">
        <f t="shared" si="0"/>
        <v>Existe requerimiento pero se requiere actividades  dirigidas a su mantenimiento dentro del marco de las lineas de defensa.</v>
      </c>
      <c r="H36" s="18"/>
      <c r="I36" s="137">
        <f t="shared" si="1"/>
        <v>1</v>
      </c>
      <c r="J36" s="282"/>
    </row>
    <row r="37" spans="1:10" ht="57" customHeight="1" x14ac:dyDescent="0.25">
      <c r="A37" s="1"/>
      <c r="B37" s="1"/>
      <c r="C37" s="135">
        <v>19</v>
      </c>
      <c r="D37" s="298"/>
      <c r="E37" s="121" t="str">
        <f>+IFERROR(INDEX(Hoja1!$E$2:$E$45,MATCH('Análisis Resultados'!C37,Hoja1!$H$2:$H$45,0)),"")</f>
        <v>Identifican deficiencias en las maneras de  controlar los riesgos o problemas en sus procesos, programas o proyectos, y propone los ajustes necesarios</v>
      </c>
      <c r="F37" s="122" t="str">
        <f>+IFERROR(VLOOKUP(C37,Hoja1!$H$2:$I$45,2,0),"")</f>
        <v>Si</v>
      </c>
      <c r="G37" s="123" t="str">
        <f t="shared" si="0"/>
        <v>Existe requerimiento pero se requiere actividades  dirigidas a su mantenimiento dentro del marco de las lineas de defensa.</v>
      </c>
      <c r="H37" s="18"/>
      <c r="I37" s="137">
        <f t="shared" si="1"/>
        <v>1</v>
      </c>
      <c r="J37" s="282"/>
    </row>
    <row r="38" spans="1:10" ht="45" x14ac:dyDescent="0.25">
      <c r="A38" s="1"/>
      <c r="B38" s="1"/>
      <c r="C38" s="135">
        <v>20</v>
      </c>
      <c r="D38" s="298"/>
      <c r="E38" s="121" t="str">
        <f>+IFERROR(INDEX(Hoja1!$E$2:$E$45,MATCH('Análisis Resultados'!C38,Hoja1!$H$2:$H$45,0)),"")</f>
        <v>Se definen espacios de reunión para conocerlos y proponer acciones para su solución</v>
      </c>
      <c r="F38" s="122" t="str">
        <f>+IFERROR(VLOOKUP(C38,Hoja1!$H$2:$I$45,2,0),"")</f>
        <v>Si</v>
      </c>
      <c r="G38" s="123" t="str">
        <f t="shared" si="0"/>
        <v>Existe requerimiento pero se requiere actividades  dirigidas a su mantenimiento dentro del marco de las lineas de defensa.</v>
      </c>
      <c r="H38" s="18"/>
      <c r="I38" s="137">
        <f t="shared" si="1"/>
        <v>1</v>
      </c>
      <c r="J38" s="282"/>
    </row>
    <row r="39" spans="1:10" ht="45" x14ac:dyDescent="0.25">
      <c r="A39" s="1"/>
      <c r="B39" s="1"/>
      <c r="C39" s="135">
        <v>21</v>
      </c>
      <c r="D39" s="298"/>
      <c r="E39" s="121" t="str">
        <f>+IFERROR(INDEX(Hoja1!$E$2:$E$45,MATCH('Análisis Resultados'!C39,Hoja1!$H$2:$H$45,0)),"")</f>
        <v>Cada líder del equipo autónomamente toma las acciones para solucionarlos.</v>
      </c>
      <c r="F39" s="122" t="str">
        <f>+IFERROR(VLOOKUP(C39,Hoja1!$H$2:$I$45,2,0),"")</f>
        <v>Si</v>
      </c>
      <c r="G39" s="123" t="str">
        <f t="shared" si="0"/>
        <v>Existe requerimiento pero se requiere actividades  dirigidas a su mantenimiento dentro del marco de las lineas de defensa.</v>
      </c>
      <c r="H39" s="18"/>
      <c r="I39" s="137">
        <f t="shared" si="1"/>
        <v>1</v>
      </c>
      <c r="J39" s="282"/>
    </row>
    <row r="40" spans="1:10" ht="45.75" thickBot="1" x14ac:dyDescent="0.3">
      <c r="A40" s="1"/>
      <c r="B40" s="1"/>
      <c r="C40" s="135">
        <v>22</v>
      </c>
      <c r="D40" s="298"/>
      <c r="E40" s="127" t="str">
        <f>+IFERROR(INDEX(Hoja1!$E$2:$E$45,MATCH('Análisis Resultados'!C40,Hoja1!$H$2:$H$45,0)),"")</f>
        <v>Solamente hasta que un organismo de control actúa se definen acciones de mejora.</v>
      </c>
      <c r="F40" s="128" t="str">
        <f>+IFERROR(VLOOKUP(C40,Hoja1!$H$2:$I$45,2,0),"")</f>
        <v>Si</v>
      </c>
      <c r="G40" s="129" t="str">
        <f t="shared" si="0"/>
        <v>Existe requerimiento pero se requiere actividades  dirigidas a su mantenimiento dentro del marco de las lineas de defensa.</v>
      </c>
      <c r="H40" s="18"/>
      <c r="I40" s="139">
        <f t="shared" si="1"/>
        <v>1</v>
      </c>
      <c r="J40" s="282"/>
    </row>
    <row r="41" spans="1:10" ht="87.75" customHeight="1" x14ac:dyDescent="0.25">
      <c r="A41" s="1"/>
      <c r="B41" s="1"/>
      <c r="C41" s="135">
        <v>23</v>
      </c>
      <c r="D41" s="293" t="s">
        <v>88</v>
      </c>
      <c r="E41" s="118" t="str">
        <f>+IFERROR(INDEX(Hoja1!$E$2:$E$45,MATCH('Análisis Resultados'!C41,Hoja1!$H$2:$H$45,0)),"")</f>
        <v>Mecanismos de verificación de si se están o no mitigando los riesgos, o en su defecto, elaboración de planes de contingencia para subsanar sus consecuencias</v>
      </c>
      <c r="F41" s="119" t="str">
        <f>+IFERROR(VLOOKUP(C41,Hoja1!$H$2:$I$45,2,0),"")</f>
        <v>En proceso</v>
      </c>
      <c r="G41" s="120" t="str">
        <f t="shared" si="0"/>
        <v>Se encuentra en proceso, pero requiere continuar con acciones dirigidas a contar con dicho aspecto de control.</v>
      </c>
      <c r="H41" s="18"/>
      <c r="I41" s="136">
        <f t="shared" si="1"/>
        <v>0.5</v>
      </c>
      <c r="J41" s="281">
        <f>+AVERAGE(I41:I45)</f>
        <v>0.8</v>
      </c>
    </row>
    <row r="42" spans="1:10" ht="42.75" x14ac:dyDescent="0.25">
      <c r="A42" s="1"/>
      <c r="B42" s="1"/>
      <c r="C42" s="135">
        <v>24</v>
      </c>
      <c r="D42" s="294"/>
      <c r="E42" s="121" t="str">
        <f>+IFERROR(INDEX(Hoja1!$E$2:$E$45,MATCH('Análisis Resultados'!C42,Hoja1!$H$2:$H$45,0)),"")</f>
        <v>Planes, acciones o estrategias que permitan subsanar las consecuencias de la materialización de los riesgos, cuando se presentan</v>
      </c>
      <c r="F42" s="122" t="str">
        <f>+IFERROR(VLOOKUP(C42,Hoja1!$H$2:$I$45,2,0),"")</f>
        <v>En proceso</v>
      </c>
      <c r="G42" s="123" t="str">
        <f t="shared" si="0"/>
        <v>Se encuentra en proceso, pero requiere continuar con acciones dirigidas a contar con dicho aspecto de control.</v>
      </c>
      <c r="H42" s="18"/>
      <c r="I42" s="137">
        <f t="shared" si="1"/>
        <v>0.5</v>
      </c>
      <c r="J42" s="282"/>
    </row>
    <row r="43" spans="1:10" ht="85.5" customHeight="1" x14ac:dyDescent="0.25">
      <c r="A43" s="1"/>
      <c r="B43" s="1"/>
      <c r="C43" s="135">
        <v>25</v>
      </c>
      <c r="D43" s="294"/>
      <c r="E43" s="121" t="str">
        <f>+IFERROR(INDEX(Hoja1!$E$2:$E$45,MATCH('Análisis Resultados'!C43,Hoja1!$H$2:$H$45,0)),"")</f>
        <v>La definición de acciones o actividades para para dar tratamiento a los problemas identificados (mitigación de riesgos), incluyendo aquellos asociados a posibles actos de corrupción</v>
      </c>
      <c r="F43" s="122" t="str">
        <f>+IFERROR(VLOOKUP(C43,Hoja1!$H$2:$I$45,2,0),"")</f>
        <v>Si</v>
      </c>
      <c r="G43" s="123" t="str">
        <f t="shared" si="0"/>
        <v>Existe requerimiento pero se requiere actividades  dirigidas a su mantenimiento dentro del marco de las lineas de defensa.</v>
      </c>
      <c r="H43" s="18"/>
      <c r="I43" s="137">
        <f t="shared" si="1"/>
        <v>1</v>
      </c>
      <c r="J43" s="282"/>
    </row>
    <row r="44" spans="1:10" ht="57" customHeight="1" x14ac:dyDescent="0.25">
      <c r="A44" s="1"/>
      <c r="B44" s="1"/>
      <c r="C44" s="135">
        <v>26</v>
      </c>
      <c r="D44" s="294"/>
      <c r="E44" s="121" t="str">
        <f>+IFERROR(INDEX(Hoja1!$E$2:$E$45,MATCH('Análisis Resultados'!C44,Hoja1!$H$2:$H$45,0)),"")</f>
        <v>Un documento que consolide  los riesgos  y el tratamiento que se les da, incluyendo aquellos que conllevan posibles actos de corrupción y si la capacidad e infraestructura lo permite, los asociados con las tecnologías de la información y las comunicaciones</v>
      </c>
      <c r="F44" s="122" t="str">
        <f>+IFERROR(VLOOKUP(C44,Hoja1!$H$2:$I$45,2,0),"")</f>
        <v>Si</v>
      </c>
      <c r="G44" s="123" t="str">
        <f t="shared" si="0"/>
        <v>Existe requerimiento pero se requiere actividades  dirigidas a su mantenimiento dentro del marco de las lineas de defensa.</v>
      </c>
      <c r="H44" s="18"/>
      <c r="I44" s="137">
        <f t="shared" si="1"/>
        <v>1</v>
      </c>
      <c r="J44" s="282"/>
    </row>
    <row r="45" spans="1:10" ht="57" customHeight="1" thickBot="1" x14ac:dyDescent="0.3">
      <c r="A45" s="1"/>
      <c r="B45" s="1"/>
      <c r="C45" s="135">
        <v>27</v>
      </c>
      <c r="D45" s="295"/>
      <c r="E45" s="124" t="str">
        <f>+IFERROR(INDEX(Hoja1!$E$2:$E$45,MATCH('Análisis Resultados'!C45,Hoja1!$H$2:$H$45,0)),"")</f>
        <v>Un plan anticorrupción y de servicio al ciudadano con los temas que le aplican, publicado en algún medio para conocimiento de la ciudadanía</v>
      </c>
      <c r="F45" s="125" t="str">
        <f>+IFERROR(VLOOKUP(C45,Hoja1!$H$2:$I$45,2,0),"")</f>
        <v>Si</v>
      </c>
      <c r="G45" s="126" t="str">
        <f t="shared" si="0"/>
        <v>Existe requerimiento pero se requiere actividades  dirigidas a su mantenimiento dentro del marco de las lineas de defensa.</v>
      </c>
      <c r="H45" s="18"/>
      <c r="I45" s="138">
        <f t="shared" si="1"/>
        <v>1</v>
      </c>
      <c r="J45" s="296"/>
    </row>
    <row r="46" spans="1:10" ht="63.75" customHeight="1" x14ac:dyDescent="0.25">
      <c r="A46" s="1"/>
      <c r="B46" s="1"/>
      <c r="C46" s="135">
        <v>28</v>
      </c>
      <c r="D46" s="292" t="s">
        <v>97</v>
      </c>
      <c r="E46" s="130" t="str">
        <f>+IFERROR(INDEX(Hoja1!$E$2:$E$45,MATCH('Análisis Resultados'!C46,Hoja1!$H$2:$H$45,0)),"")</f>
        <v xml:space="preserve">Lineamientos para dar tratamiento a la información de carácter reservado </v>
      </c>
      <c r="F46" s="131" t="str">
        <f>+IFERROR(VLOOKUP(C46,Hoja1!$H$2:$I$45,2,0),"")</f>
        <v>No</v>
      </c>
      <c r="G46" s="132" t="str">
        <f t="shared" si="0"/>
        <v>No se encuentra el aspecto  por lo tanto la entidad debera generar acciones dirigidas a que se cumpla con el requerimiento.</v>
      </c>
      <c r="H46" s="18"/>
      <c r="I46" s="140">
        <f t="shared" si="1"/>
        <v>0</v>
      </c>
      <c r="J46" s="282">
        <f>+AVERAGE(I46:I52)</f>
        <v>0.7142857142857143</v>
      </c>
    </row>
    <row r="47" spans="1:10" ht="92.25" customHeight="1" x14ac:dyDescent="0.25">
      <c r="A47" s="1"/>
      <c r="B47" s="1"/>
      <c r="C47" s="135">
        <v>29</v>
      </c>
      <c r="D47" s="292"/>
      <c r="E47" s="121" t="str">
        <f>+IFERROR(INDEX(Hoja1!$E$2:$E$45,MATCH('Análisis Resultados'!C47,Hoja1!$H$2:$H$45,0)),"")</f>
        <v>Identificación de información que produce en el marco de su gestión (Para los ciudadanos, organismos de control, organismos gubernamentales, entre otros)</v>
      </c>
      <c r="F47" s="122" t="str">
        <f>+IFERROR(VLOOKUP(C47,Hoja1!$H$2:$I$45,2,0),"")</f>
        <v>En proceso</v>
      </c>
      <c r="G47" s="133" t="str">
        <f t="shared" si="0"/>
        <v>Se encuentra en proceso, pero requiere continuar con acciones dirigidas a contar con dicho aspecto de control.</v>
      </c>
      <c r="H47" s="18"/>
      <c r="I47" s="141">
        <f t="shared" si="1"/>
        <v>0.5</v>
      </c>
      <c r="J47" s="282"/>
    </row>
    <row r="48" spans="1:10" ht="66.75" customHeight="1" x14ac:dyDescent="0.25">
      <c r="A48" s="1"/>
      <c r="B48" s="1"/>
      <c r="C48" s="135">
        <v>30</v>
      </c>
      <c r="D48" s="292"/>
      <c r="E48" s="121" t="str">
        <f>+IFERROR(INDEX(Hoja1!$E$2:$E$45,MATCH('Análisis Resultados'!C48,Hoja1!$H$2:$H$45,0)),"")</f>
        <v>Identificación de información necesaria para la operación de la entidad (normograma, presupuesto, talento humano, infraestructura física y tecnológica)</v>
      </c>
      <c r="F48" s="122" t="str">
        <f>+IFERROR(VLOOKUP(C48,Hoja1!$H$2:$I$45,2,0),"")</f>
        <v>En proceso</v>
      </c>
      <c r="G48" s="133" t="str">
        <f t="shared" si="0"/>
        <v>Se encuentra en proceso, pero requiere continuar con acciones dirigidas a contar con dicho aspecto de control.</v>
      </c>
      <c r="H48" s="18"/>
      <c r="I48" s="141">
        <f t="shared" si="1"/>
        <v>0.5</v>
      </c>
      <c r="J48" s="282"/>
    </row>
    <row r="49" spans="1:10" ht="60" customHeight="1" x14ac:dyDescent="0.25">
      <c r="A49" s="1"/>
      <c r="B49" s="1"/>
      <c r="C49" s="135">
        <v>31</v>
      </c>
      <c r="D49" s="292"/>
      <c r="E49" s="121" t="str">
        <f>+IFERROR(INDEX(Hoja1!$E$2:$E$45,MATCH('Análisis Resultados'!C49,Hoja1!$H$2:$H$45,0)),"")</f>
        <v>Responsables de la información institucional</v>
      </c>
      <c r="F49" s="122" t="str">
        <f>+IFERROR(VLOOKUP(C49,Hoja1!$H$2:$I$45,2,0),"")</f>
        <v>Si</v>
      </c>
      <c r="G49" s="133" t="str">
        <f t="shared" si="0"/>
        <v>Existe requerimiento pero se requiere actividades  dirigidas a su mantenimiento dentro del marco de las lineas de defensa.</v>
      </c>
      <c r="H49" s="18"/>
      <c r="I49" s="141">
        <f t="shared" si="1"/>
        <v>1</v>
      </c>
      <c r="J49" s="282"/>
    </row>
    <row r="50" spans="1:10" ht="57" customHeight="1" x14ac:dyDescent="0.25">
      <c r="A50" s="1"/>
      <c r="B50" s="1"/>
      <c r="C50" s="135">
        <v>32</v>
      </c>
      <c r="D50" s="292"/>
      <c r="E50" s="121" t="str">
        <f>+IFERROR(INDEX(Hoja1!$E$2:$E$45,MATCH('Análisis Resultados'!C50,Hoja1!$H$2:$H$45,0)),"")</f>
        <v>Canales de comunicación con los ciudadanos</v>
      </c>
      <c r="F50" s="122" t="str">
        <f>+IFERROR(VLOOKUP(C50,Hoja1!$H$2:$I$45,2,0),"")</f>
        <v>Si</v>
      </c>
      <c r="G50" s="133" t="str">
        <f t="shared" si="0"/>
        <v>Existe requerimiento pero se requiere actividades  dirigidas a su mantenimiento dentro del marco de las lineas de defensa.</v>
      </c>
      <c r="H50" s="18"/>
      <c r="I50" s="141">
        <f t="shared" si="1"/>
        <v>1</v>
      </c>
      <c r="J50" s="282"/>
    </row>
    <row r="51" spans="1:10" ht="57" customHeight="1" x14ac:dyDescent="0.25">
      <c r="A51" s="1"/>
      <c r="B51" s="1"/>
      <c r="C51" s="135">
        <v>33</v>
      </c>
      <c r="D51" s="292"/>
      <c r="E51" s="121" t="str">
        <f>+IFERROR(INDEX(Hoja1!$E$2:$E$45,MATCH('Análisis Resultados'!C51,Hoja1!$H$2:$H$45,0)),"")</f>
        <v>Canales de comunicación o mecanismos de reporte de información a otros organismos gubernamentales o de control</v>
      </c>
      <c r="F51" s="122" t="str">
        <f>+IFERROR(VLOOKUP(C51,Hoja1!$H$2:$I$45,2,0),"")</f>
        <v>Si</v>
      </c>
      <c r="G51" s="133" t="str">
        <f t="shared" si="0"/>
        <v>Existe requerimiento pero se requiere actividades  dirigidas a su mantenimiento dentro del marco de las lineas de defensa.</v>
      </c>
      <c r="H51" s="18"/>
      <c r="I51" s="141">
        <f t="shared" si="1"/>
        <v>1</v>
      </c>
      <c r="J51" s="282"/>
    </row>
    <row r="52" spans="1:10" ht="45.75" thickBot="1" x14ac:dyDescent="0.3">
      <c r="A52" s="1"/>
      <c r="B52" s="1"/>
      <c r="C52" s="135">
        <v>34</v>
      </c>
      <c r="D52" s="292"/>
      <c r="E52" s="127" t="str">
        <f>+IFERROR(INDEX(Hoja1!$E$2:$E$45,MATCH('Análisis Resultados'!C52,Hoja1!$H$2:$H$45,0)),"")</f>
        <v>Si su capacidad e infraestructura lo permite, tecnologías de la información y las comunicaciones que soporten estos procesos</v>
      </c>
      <c r="F52" s="128" t="str">
        <f>+IFERROR(VLOOKUP(C52,Hoja1!$H$2:$I$45,2,0),"")</f>
        <v>Si</v>
      </c>
      <c r="G52" s="134" t="str">
        <f t="shared" si="0"/>
        <v>Existe requerimiento pero se requiere actividades  dirigidas a su mantenimiento dentro del marco de las lineas de defensa.</v>
      </c>
      <c r="H52" s="18"/>
      <c r="I52" s="142">
        <f t="shared" si="1"/>
        <v>1</v>
      </c>
      <c r="J52" s="282"/>
    </row>
    <row r="53" spans="1:10" ht="41.25" customHeight="1" x14ac:dyDescent="0.25">
      <c r="A53" s="1"/>
      <c r="B53" s="1"/>
      <c r="C53" s="135">
        <v>35</v>
      </c>
      <c r="D53" s="286" t="s">
        <v>114</v>
      </c>
      <c r="E53" s="118" t="str">
        <f>+IFERROR(INDEX(Hoja1!$E$2:$E$45,MATCH('Análisis Resultados'!C53,Hoja1!$H$2:$H$45,0)),"")</f>
        <v>Mecanismos de evaluación de la gestión (cronogramas, indicadores, listas de chequeo u otros)</v>
      </c>
      <c r="F53" s="119" t="str">
        <f>+IFERROR(VLOOKUP(C53,Hoja1!$H$2:$I$45,2,0),"")</f>
        <v>En proceso</v>
      </c>
      <c r="G53" s="120" t="str">
        <f t="shared" si="0"/>
        <v>Se encuentra en proceso, pero requiere continuar con acciones dirigidas a contar con dicho aspecto de control.</v>
      </c>
      <c r="H53" s="18"/>
      <c r="I53" s="136">
        <f t="shared" si="1"/>
        <v>0.5</v>
      </c>
      <c r="J53" s="289">
        <f>+AVERAGE(I53:I62)</f>
        <v>0.75</v>
      </c>
    </row>
    <row r="54" spans="1:10" ht="58.5" customHeight="1" x14ac:dyDescent="0.25">
      <c r="A54" s="1"/>
      <c r="B54" s="1"/>
      <c r="C54" s="135">
        <v>36</v>
      </c>
      <c r="D54" s="287"/>
      <c r="E54" s="121" t="str">
        <f>+IFERROR(INDEX(Hoja1!$E$2:$E$45,MATCH('Análisis Resultados'!C54,Hoja1!$H$2:$H$45,0)),"")</f>
        <v>Evitar que los problemas (riesgos) obstaculicen el cumplimiento de los objetivos.</v>
      </c>
      <c r="F54" s="122" t="str">
        <f>+IFERROR(VLOOKUP(C54,Hoja1!$H$2:$I$45,2,0),"")</f>
        <v>En proceso</v>
      </c>
      <c r="G54" s="123" t="str">
        <f t="shared" si="0"/>
        <v>Se encuentra en proceso, pero requiere continuar con acciones dirigidas a contar con dicho aspecto de control.</v>
      </c>
      <c r="H54" s="18"/>
      <c r="I54" s="137">
        <f t="shared" si="1"/>
        <v>0.5</v>
      </c>
      <c r="J54" s="290"/>
    </row>
    <row r="55" spans="1:10" s="1" customFormat="1" ht="84.75" customHeight="1" x14ac:dyDescent="0.25">
      <c r="C55" s="135">
        <v>37</v>
      </c>
      <c r="D55" s="287"/>
      <c r="E55" s="121" t="str">
        <f>+IFERROR(INDEX(Hoja1!$E$2:$E$45,MATCH('Análisis Resultados'!C55,Hoja1!$H$2:$H$45,0)),"")</f>
        <v>Controlar los puntos críticos en los procesos.</v>
      </c>
      <c r="F55" s="122" t="str">
        <f>+IFERROR(VLOOKUP(C55,Hoja1!$H$2:$I$45,2,0),"")</f>
        <v>En proceso</v>
      </c>
      <c r="G55" s="123" t="str">
        <f t="shared" si="0"/>
        <v>Se encuentra en proceso, pero requiere continuar con acciones dirigidas a contar con dicho aspecto de control.</v>
      </c>
      <c r="H55" s="6"/>
      <c r="I55" s="137">
        <f t="shared" si="1"/>
        <v>0.5</v>
      </c>
      <c r="J55" s="290"/>
    </row>
    <row r="56" spans="1:10" s="1" customFormat="1" ht="78.75" customHeight="1" x14ac:dyDescent="0.25">
      <c r="C56" s="135">
        <v>38</v>
      </c>
      <c r="D56" s="287"/>
      <c r="E56" s="121" t="str">
        <f>+IFERROR(INDEX(Hoja1!$E$2:$E$45,MATCH('Análisis Resultados'!C56,Hoja1!$H$2:$H$45,0)),"")</f>
        <v>Diseñar acciones adecuadas para controlar los problemas que afectan el cumplimiento de las metas y objetivos institucionales (riesgos).</v>
      </c>
      <c r="F56" s="122" t="str">
        <f>+IFERROR(VLOOKUP(C56,Hoja1!$H$2:$I$45,2,0),"")</f>
        <v>En proceso</v>
      </c>
      <c r="G56" s="123" t="str">
        <f t="shared" si="0"/>
        <v>Se encuentra en proceso, pero requiere continuar con acciones dirigidas a contar con dicho aspecto de control.</v>
      </c>
      <c r="H56" s="6"/>
      <c r="I56" s="137">
        <f t="shared" si="1"/>
        <v>0.5</v>
      </c>
      <c r="J56" s="290"/>
    </row>
    <row r="57" spans="1:10" s="1" customFormat="1" ht="54.75" customHeight="1" x14ac:dyDescent="0.25">
      <c r="C57" s="135">
        <v>39</v>
      </c>
      <c r="D57" s="287"/>
      <c r="E57" s="121" t="str">
        <f>+IFERROR(INDEX(Hoja1!$E$2:$E$45,MATCH('Análisis Resultados'!C57,Hoja1!$H$2:$H$45,0)),"")</f>
        <v>Ejecutar las acciones de acuerdo a como se diseñaron previamente.</v>
      </c>
      <c r="F57" s="122" t="str">
        <f>+IFERROR(VLOOKUP(C57,Hoja1!$H$2:$I$45,2,0),"")</f>
        <v>En proceso</v>
      </c>
      <c r="G57" s="123" t="str">
        <f t="shared" si="0"/>
        <v>Se encuentra en proceso, pero requiere continuar con acciones dirigidas a contar con dicho aspecto de control.</v>
      </c>
      <c r="H57" s="6"/>
      <c r="I57" s="137">
        <f t="shared" si="1"/>
        <v>0.5</v>
      </c>
      <c r="J57" s="290"/>
    </row>
    <row r="58" spans="1:10" s="1" customFormat="1" ht="68.25" customHeight="1" x14ac:dyDescent="0.25">
      <c r="C58" s="135">
        <v>40</v>
      </c>
      <c r="D58" s="287"/>
      <c r="E58" s="121" t="str">
        <f>+IFERROR(INDEX(Hoja1!$E$2:$E$45,MATCH('Análisis Resultados'!C58,Hoja1!$H$2:$H$45,0)),"")</f>
        <v>Algún mecanismo para monitorear o supervisar el sistema de control interno institucional, ya sea por parte del representante legal, o del área de control interno (si la entidad cuenta con ella), o bien a través del Comité departamental o municipal de Auditoría.</v>
      </c>
      <c r="F58" s="122" t="str">
        <f>+IFERROR(VLOOKUP(C58,Hoja1!$H$2:$I$45,2,0),"")</f>
        <v>Si</v>
      </c>
      <c r="G58" s="123" t="str">
        <f t="shared" si="0"/>
        <v>Existe requerimiento pero se requiere actividades  dirigidas a su mantenimiento dentro del marco de las lineas de defensa.</v>
      </c>
      <c r="H58" s="6"/>
      <c r="I58" s="137">
        <f t="shared" si="1"/>
        <v>1</v>
      </c>
      <c r="J58" s="290"/>
    </row>
    <row r="59" spans="1:10" s="1" customFormat="1" ht="45" customHeight="1" x14ac:dyDescent="0.25">
      <c r="C59" s="135">
        <v>41</v>
      </c>
      <c r="D59" s="287"/>
      <c r="E59" s="121" t="str">
        <f>+IFERROR(INDEX(Hoja1!$E$2:$E$45,MATCH('Análisis Resultados'!C59,Hoja1!$H$2:$H$45,0)),"")</f>
        <v>Medidas correctivas en caso de detectarse deficiencias en los ejercicios de evaluación, seguimiento o auditoría</v>
      </c>
      <c r="F59" s="122" t="str">
        <f>+IFERROR(VLOOKUP(C59,Hoja1!$H$2:$I$45,2,0),"")</f>
        <v>Si</v>
      </c>
      <c r="G59" s="123" t="str">
        <f t="shared" si="0"/>
        <v>Existe requerimiento pero se requiere actividades  dirigidas a su mantenimiento dentro del marco de las lineas de defensa.</v>
      </c>
      <c r="H59" s="6"/>
      <c r="I59" s="137">
        <f t="shared" si="1"/>
        <v>1</v>
      </c>
      <c r="J59" s="290"/>
    </row>
    <row r="60" spans="1:10" s="1" customFormat="1" ht="51.75" customHeight="1" x14ac:dyDescent="0.25">
      <c r="C60" s="135">
        <v>42</v>
      </c>
      <c r="D60" s="287"/>
      <c r="E60" s="121" t="str">
        <f>+IFERROR(INDEX(Hoja1!$E$2:$E$45,MATCH('Análisis Resultados'!C60,Hoja1!$H$2:$H$45,0)),"")</f>
        <v>Seguimiento a los planes de mejoramiento suscritos con instancias de control internas o externas</v>
      </c>
      <c r="F60" s="122" t="str">
        <f>+IFERROR(VLOOKUP(C60,Hoja1!$H$2:$I$45,2,0),"")</f>
        <v>Si</v>
      </c>
      <c r="G60" s="123" t="str">
        <f t="shared" si="0"/>
        <v>Existe requerimiento pero se requiere actividades  dirigidas a su mantenimiento dentro del marco de las lineas de defensa.</v>
      </c>
      <c r="H60" s="6"/>
      <c r="I60" s="137">
        <f t="shared" si="1"/>
        <v>1</v>
      </c>
      <c r="J60" s="290"/>
    </row>
    <row r="61" spans="1:10" s="1" customFormat="1" ht="84" customHeight="1" x14ac:dyDescent="0.25">
      <c r="C61" s="135">
        <v>43</v>
      </c>
      <c r="D61" s="287"/>
      <c r="E61" s="121" t="str">
        <f>+IFERROR(INDEX(Hoja1!$E$2:$E$45,MATCH('Análisis Resultados'!C61,Hoja1!$H$2:$H$45,0)),"")</f>
        <v>La entidad participa en el  Comité Municipal de Auditoría?</v>
      </c>
      <c r="F61" s="122" t="str">
        <f>+IFERROR(VLOOKUP(C61,Hoja1!$H$2:$I$45,2,0),"")</f>
        <v>Si</v>
      </c>
      <c r="G61" s="123" t="str">
        <f t="shared" si="0"/>
        <v>Existe requerimiento pero se requiere actividades  dirigidas a su mantenimiento dentro del marco de las lineas de defensa.</v>
      </c>
      <c r="H61" s="6"/>
      <c r="I61" s="137">
        <f t="shared" si="1"/>
        <v>1</v>
      </c>
      <c r="J61" s="290"/>
    </row>
    <row r="62" spans="1:10" s="1" customFormat="1" ht="60" customHeight="1" thickBot="1" x14ac:dyDescent="0.3">
      <c r="C62" s="135">
        <v>44</v>
      </c>
      <c r="D62" s="288"/>
      <c r="E62" s="124" t="str">
        <f>+IFERROR(INDEX(Hoja1!$E$2:$E$45,MATCH('Análisis Resultados'!C62,Hoja1!$H$2:$H$45,0)),"")</f>
        <v>No se gestionan los problemas que afectan el cumplimiento de las funciones y objetivos institucionales(riesgos).</v>
      </c>
      <c r="F62" s="125" t="str">
        <f>+IFERROR(VLOOKUP(C62,Hoja1!$H$2:$I$45,2,0),"")</f>
        <v>Si</v>
      </c>
      <c r="G62" s="126" t="str">
        <f t="shared" si="0"/>
        <v>Existe requerimiento pero se requiere actividades  dirigidas a su mantenimiento dentro del marco de las lineas de defensa.</v>
      </c>
      <c r="H62" s="6"/>
      <c r="I62" s="138">
        <f t="shared" si="1"/>
        <v>1</v>
      </c>
      <c r="J62" s="291"/>
    </row>
    <row r="63" spans="1:10" s="1" customFormat="1" x14ac:dyDescent="0.25">
      <c r="H63" s="6"/>
    </row>
    <row r="64" spans="1:10" s="1" customFormat="1" x14ac:dyDescent="0.25">
      <c r="H64" s="6"/>
    </row>
    <row r="65" spans="1:2" s="1" customFormat="1" x14ac:dyDescent="0.25"/>
    <row r="66" spans="1:2" s="1" customFormat="1" x14ac:dyDescent="0.25"/>
    <row r="67" spans="1:2" s="1" customFormat="1" x14ac:dyDescent="0.25"/>
    <row r="68" spans="1:2" s="1" customFormat="1" x14ac:dyDescent="0.25"/>
    <row r="69" spans="1:2" s="1" customFormat="1" x14ac:dyDescent="0.25"/>
    <row r="70" spans="1:2" s="1" customFormat="1" x14ac:dyDescent="0.25"/>
    <row r="71" spans="1:2" x14ac:dyDescent="0.25">
      <c r="A71" s="1"/>
      <c r="B71" s="1"/>
    </row>
    <row r="72" spans="1:2" x14ac:dyDescent="0.25">
      <c r="A72" s="1"/>
      <c r="B72" s="1"/>
    </row>
    <row r="73" spans="1:2" x14ac:dyDescent="0.25">
      <c r="A73" s="1"/>
      <c r="B73" s="1"/>
    </row>
    <row r="74" spans="1:2" x14ac:dyDescent="0.25">
      <c r="A74" s="1"/>
      <c r="B74" s="1"/>
    </row>
  </sheetData>
  <sheetProtection algorithmName="SHA-512" hashValue="2c/K7BVeA+JOjsvnu2HILGfEHHcx80UTyQTucJ5c70tus45UaD3gXdqjB7xLC6LydtmfT9VN5B07LstuhHP+UQ==" saltValue="5+Ylqwr6SZ9tvbSyY2m3gQ==" spinCount="100000" sheet="1" objects="1" scenarios="1" formatCells="0"/>
  <mergeCells count="25">
    <mergeCell ref="J31:J40"/>
    <mergeCell ref="C12:D12"/>
    <mergeCell ref="E12:F12"/>
    <mergeCell ref="J19:J30"/>
    <mergeCell ref="D53:D62"/>
    <mergeCell ref="J53:J62"/>
    <mergeCell ref="D46:D52"/>
    <mergeCell ref="J46:J52"/>
    <mergeCell ref="D41:D45"/>
    <mergeCell ref="J41:J45"/>
    <mergeCell ref="D31:D40"/>
    <mergeCell ref="C11:D11"/>
    <mergeCell ref="E11:F11"/>
    <mergeCell ref="J17:J18"/>
    <mergeCell ref="D19:D30"/>
    <mergeCell ref="C17:C18"/>
    <mergeCell ref="D17:E17"/>
    <mergeCell ref="F17:F18"/>
    <mergeCell ref="G17:G18"/>
    <mergeCell ref="I17:I18"/>
    <mergeCell ref="C7:K7"/>
    <mergeCell ref="C9:D9"/>
    <mergeCell ref="E9:F9"/>
    <mergeCell ref="C10:D10"/>
    <mergeCell ref="E10:F10"/>
  </mergeCells>
  <conditionalFormatting sqref="I19:I62">
    <cfRule type="cellIs" dxfId="19" priority="4" operator="between">
      <formula>0.75</formula>
      <formula>1</formula>
    </cfRule>
    <cfRule type="cellIs" dxfId="18" priority="5" operator="between">
      <formula>0.5</formula>
      <formula>0.74</formula>
    </cfRule>
    <cfRule type="cellIs" dxfId="17" priority="6" operator="between">
      <formula>0</formula>
      <formula>0.49</formula>
    </cfRule>
  </conditionalFormatting>
  <conditionalFormatting sqref="J53 J19:J31 J46 J41">
    <cfRule type="cellIs" priority="1" operator="between">
      <formula>0.75</formula>
      <formula>1</formula>
    </cfRule>
    <cfRule type="cellIs" dxfId="16" priority="2" operator="between">
      <formula>0.5</formula>
      <formula>0.75</formula>
    </cfRule>
    <cfRule type="cellIs" dxfId="15" priority="3" operator="between">
      <formula>0</formula>
      <formula>0.49</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7" operator="containsText" id="{B5EC0094-D2B5-49BB-B6F9-E988382E1263}">
            <xm:f>NOT(ISERROR(SEARCH($E$12,G19)))</xm:f>
            <xm:f>$E$12</xm:f>
            <x14:dxf>
              <fill>
                <patternFill>
                  <bgColor rgb="FFFF0000"/>
                </patternFill>
              </fill>
            </x14:dxf>
          </x14:cfRule>
          <x14:cfRule type="containsText" priority="8" operator="containsText" id="{D802A135-824D-43A0-835B-FE63514274DE}">
            <xm:f>NOT(ISERROR(SEARCH($E$11,G19)))</xm:f>
            <xm:f>$E$11</xm:f>
            <x14:dxf>
              <fill>
                <patternFill>
                  <bgColor rgb="FFFFFF00"/>
                </patternFill>
              </fill>
            </x14:dxf>
          </x14:cfRule>
          <x14:cfRule type="containsText" priority="9" operator="containsText" id="{D7844022-1CB2-4683-9B09-8D3EA8F0FDED}">
            <xm:f>NOT(ISERROR(SEARCH($E$10,G19)))</xm:f>
            <xm:f>$E$10</xm:f>
            <x14:dxf>
              <fill>
                <patternFill>
                  <bgColor rgb="FF00B050"/>
                </patternFill>
              </fill>
            </x14:dxf>
          </x14:cfRule>
          <xm:sqref>G19:G62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tabSelected="1" topLeftCell="A7" zoomScale="64" zoomScaleNormal="64" workbookViewId="0">
      <selection activeCell="F20" sqref="F20:M20"/>
    </sheetView>
  </sheetViews>
  <sheetFormatPr baseColWidth="10" defaultColWidth="11.42578125" defaultRowHeight="15" x14ac:dyDescent="0.25"/>
  <cols>
    <col min="1" max="1" width="4.42578125" customWidth="1"/>
    <col min="3" max="3" width="35.42578125" customWidth="1"/>
    <col min="4" max="4" width="13" customWidth="1"/>
    <col min="5" max="5" width="43.28515625" customWidth="1"/>
    <col min="7" max="7" width="33.85546875" customWidth="1"/>
    <col min="9" max="9" width="92.28515625" customWidth="1"/>
    <col min="13" max="13" width="29" customWidth="1"/>
  </cols>
  <sheetData>
    <row r="1" spans="1:17" s="1" customFormat="1" x14ac:dyDescent="0.2"/>
    <row r="2" spans="1:17" ht="15.95" thickBot="1" x14ac:dyDescent="0.25">
      <c r="A2" s="1"/>
      <c r="B2" s="1"/>
      <c r="C2" s="1"/>
      <c r="D2" s="1"/>
      <c r="E2" s="1"/>
      <c r="F2" s="1"/>
      <c r="G2" s="1"/>
      <c r="H2" s="1"/>
      <c r="I2" s="1"/>
      <c r="J2" s="1"/>
      <c r="K2" s="1"/>
      <c r="L2" s="1"/>
      <c r="M2" s="1"/>
      <c r="N2" s="1"/>
      <c r="O2" s="1"/>
      <c r="P2" s="1"/>
      <c r="Q2" s="1"/>
    </row>
    <row r="3" spans="1:17" ht="15.95" thickTop="1" x14ac:dyDescent="0.2">
      <c r="A3" s="1"/>
      <c r="B3" s="2"/>
      <c r="C3" s="3"/>
      <c r="D3" s="3"/>
      <c r="E3" s="3"/>
      <c r="F3" s="3"/>
      <c r="G3" s="3"/>
      <c r="H3" s="3"/>
      <c r="I3" s="3"/>
      <c r="J3" s="3"/>
      <c r="K3" s="3"/>
      <c r="L3" s="3"/>
      <c r="M3" s="3"/>
      <c r="N3" s="3"/>
      <c r="O3" s="3"/>
      <c r="P3" s="4"/>
      <c r="Q3" s="1"/>
    </row>
    <row r="4" spans="1:17" ht="16.5" x14ac:dyDescent="0.3">
      <c r="A4" s="1"/>
      <c r="B4" s="5"/>
      <c r="C4" s="6"/>
      <c r="D4" s="6"/>
      <c r="E4" s="312" t="s">
        <v>148</v>
      </c>
      <c r="F4" s="314" t="s">
        <v>149</v>
      </c>
      <c r="G4" s="314"/>
      <c r="H4" s="314"/>
      <c r="I4" s="314"/>
      <c r="J4" s="314"/>
      <c r="K4" s="314"/>
      <c r="L4" s="314"/>
      <c r="M4" s="314"/>
      <c r="N4" s="7"/>
      <c r="O4" s="7"/>
      <c r="P4" s="8"/>
      <c r="Q4" s="1"/>
    </row>
    <row r="5" spans="1:17" ht="45.75" customHeight="1" x14ac:dyDescent="0.3">
      <c r="A5" s="1"/>
      <c r="B5" s="5"/>
      <c r="C5" s="6"/>
      <c r="D5" s="6"/>
      <c r="E5" s="313"/>
      <c r="F5" s="314"/>
      <c r="G5" s="314"/>
      <c r="H5" s="314"/>
      <c r="I5" s="314"/>
      <c r="J5" s="314"/>
      <c r="K5" s="314"/>
      <c r="L5" s="314"/>
      <c r="M5" s="314"/>
      <c r="N5" s="7"/>
      <c r="O5" s="7"/>
      <c r="P5" s="8"/>
      <c r="Q5" s="1"/>
    </row>
    <row r="6" spans="1:17" ht="66.75" customHeight="1" x14ac:dyDescent="0.2">
      <c r="A6" s="1"/>
      <c r="B6" s="5"/>
      <c r="C6" s="6"/>
      <c r="D6" s="6"/>
      <c r="E6" s="95" t="s">
        <v>150</v>
      </c>
      <c r="F6" s="315" t="s">
        <v>231</v>
      </c>
      <c r="G6" s="316"/>
      <c r="H6" s="316"/>
      <c r="I6" s="316"/>
      <c r="J6" s="316"/>
      <c r="K6" s="316"/>
      <c r="L6" s="316"/>
      <c r="M6" s="317"/>
      <c r="N6" s="9"/>
      <c r="O6" s="9"/>
      <c r="P6" s="8"/>
      <c r="Q6" s="1"/>
    </row>
    <row r="7" spans="1:17" ht="15.95" thickBot="1" x14ac:dyDescent="0.25">
      <c r="A7" s="1"/>
      <c r="B7" s="5"/>
      <c r="C7" s="6"/>
      <c r="D7" s="6"/>
      <c r="E7" s="10"/>
      <c r="F7" s="9"/>
      <c r="G7" s="9"/>
      <c r="H7" s="9"/>
      <c r="I7" s="9"/>
      <c r="J7" s="9"/>
      <c r="K7" s="9"/>
      <c r="L7" s="9"/>
      <c r="M7" s="6"/>
      <c r="N7" s="6"/>
      <c r="O7" s="6"/>
      <c r="P7" s="8"/>
      <c r="Q7" s="1"/>
    </row>
    <row r="8" spans="1:17" ht="97.5" customHeight="1" thickBot="1" x14ac:dyDescent="0.25">
      <c r="A8" s="1"/>
      <c r="B8" s="5"/>
      <c r="C8" s="6"/>
      <c r="D8" s="6"/>
      <c r="E8" s="6"/>
      <c r="F8" s="6"/>
      <c r="G8" s="6"/>
      <c r="H8" s="6"/>
      <c r="I8" s="318" t="s">
        <v>151</v>
      </c>
      <c r="J8" s="319"/>
      <c r="K8" s="320"/>
      <c r="L8" s="6"/>
      <c r="M8" s="143">
        <f>+AVERAGE(G26,G28,G30,G32,G34)</f>
        <v>0.79119047619047622</v>
      </c>
      <c r="N8" s="11"/>
      <c r="O8" s="11"/>
      <c r="P8" s="8"/>
      <c r="Q8" s="1"/>
    </row>
    <row r="9" spans="1:17" ht="15.95" x14ac:dyDescent="0.2">
      <c r="A9" s="1"/>
      <c r="B9" s="5"/>
      <c r="C9" s="6"/>
      <c r="D9" s="6"/>
      <c r="E9" s="6"/>
      <c r="F9" s="6"/>
      <c r="G9" s="6"/>
      <c r="H9" s="6"/>
      <c r="I9" s="6"/>
      <c r="J9" s="6"/>
      <c r="K9" s="6"/>
      <c r="L9" s="6"/>
      <c r="M9" s="12"/>
      <c r="N9" s="12"/>
      <c r="O9" s="12"/>
      <c r="P9" s="8"/>
      <c r="Q9" s="1"/>
    </row>
    <row r="10" spans="1:17" x14ac:dyDescent="0.2">
      <c r="A10" s="1"/>
      <c r="B10" s="5"/>
      <c r="C10" s="6"/>
      <c r="D10" s="6"/>
      <c r="E10" s="6"/>
      <c r="F10" s="6"/>
      <c r="G10" s="6"/>
      <c r="H10" s="6"/>
      <c r="I10" s="6"/>
      <c r="J10" s="6"/>
      <c r="K10" s="6"/>
      <c r="L10" s="6"/>
      <c r="M10" s="6"/>
      <c r="N10" s="6"/>
      <c r="O10" s="6"/>
      <c r="P10" s="8"/>
      <c r="Q10" s="1"/>
    </row>
    <row r="11" spans="1:17" x14ac:dyDescent="0.2">
      <c r="A11" s="1"/>
      <c r="B11" s="5"/>
      <c r="C11" s="6"/>
      <c r="D11" s="6"/>
      <c r="E11" s="6"/>
      <c r="F11" s="6"/>
      <c r="G11" s="6"/>
      <c r="H11" s="6"/>
      <c r="I11" s="6"/>
      <c r="J11" s="6"/>
      <c r="K11" s="6"/>
      <c r="L11" s="6"/>
      <c r="M11" s="6"/>
      <c r="N11" s="6"/>
      <c r="O11" s="6"/>
      <c r="P11" s="8"/>
      <c r="Q11" s="1"/>
    </row>
    <row r="12" spans="1:17" x14ac:dyDescent="0.2">
      <c r="A12" s="1"/>
      <c r="B12" s="5"/>
      <c r="C12" s="6"/>
      <c r="D12" s="6"/>
      <c r="E12" s="6"/>
      <c r="F12" s="6"/>
      <c r="G12" s="6"/>
      <c r="H12" s="6"/>
      <c r="I12" s="6"/>
      <c r="J12" s="6"/>
      <c r="K12" s="6"/>
      <c r="L12" s="6"/>
      <c r="M12" s="6"/>
      <c r="N12" s="6"/>
      <c r="O12" s="6"/>
      <c r="P12" s="8"/>
      <c r="Q12" s="1"/>
    </row>
    <row r="13" spans="1:17" x14ac:dyDescent="0.2">
      <c r="A13" s="1"/>
      <c r="B13" s="5"/>
      <c r="C13" s="6"/>
      <c r="D13" s="6"/>
      <c r="E13" s="6"/>
      <c r="F13" s="6"/>
      <c r="G13" s="6"/>
      <c r="H13" s="6"/>
      <c r="I13" s="6"/>
      <c r="J13" s="6"/>
      <c r="K13" s="6"/>
      <c r="L13" s="6"/>
      <c r="M13" s="6"/>
      <c r="N13" s="6"/>
      <c r="O13" s="6"/>
      <c r="P13" s="8"/>
      <c r="Q13" s="1"/>
    </row>
    <row r="14" spans="1:17" x14ac:dyDescent="0.2">
      <c r="A14" s="1"/>
      <c r="B14" s="5"/>
      <c r="C14" s="6"/>
      <c r="D14" s="6"/>
      <c r="E14" s="6"/>
      <c r="F14" s="6"/>
      <c r="G14" s="6"/>
      <c r="H14" s="6"/>
      <c r="I14" s="6"/>
      <c r="J14" s="6"/>
      <c r="K14" s="6"/>
      <c r="L14" s="6"/>
      <c r="M14" s="6"/>
      <c r="N14" s="6"/>
      <c r="O14" s="6"/>
      <c r="P14" s="8"/>
      <c r="Q14" s="1"/>
    </row>
    <row r="15" spans="1:17" x14ac:dyDescent="0.2">
      <c r="A15" s="1"/>
      <c r="B15" s="5"/>
      <c r="C15" s="6"/>
      <c r="D15" s="6"/>
      <c r="E15" s="6"/>
      <c r="F15" s="6"/>
      <c r="G15" s="6"/>
      <c r="H15" s="6"/>
      <c r="I15" s="6"/>
      <c r="J15" s="6"/>
      <c r="K15" s="6"/>
      <c r="L15" s="6"/>
      <c r="M15" s="6"/>
      <c r="N15" s="6"/>
      <c r="O15" s="6"/>
      <c r="P15" s="8"/>
      <c r="Q15" s="1"/>
    </row>
    <row r="16" spans="1:17" x14ac:dyDescent="0.2">
      <c r="A16" s="1"/>
      <c r="B16" s="5"/>
      <c r="C16" s="6"/>
      <c r="D16" s="6"/>
      <c r="E16" s="6"/>
      <c r="F16" s="6"/>
      <c r="G16" s="6"/>
      <c r="H16" s="6"/>
      <c r="I16" s="6"/>
      <c r="J16" s="6"/>
      <c r="K16" s="6"/>
      <c r="L16" s="6"/>
      <c r="M16" s="6"/>
      <c r="N16" s="6"/>
      <c r="O16" s="6"/>
      <c r="P16" s="8"/>
      <c r="Q16" s="1"/>
    </row>
    <row r="17" spans="1:17" x14ac:dyDescent="0.2">
      <c r="A17" s="1"/>
      <c r="B17" s="5"/>
      <c r="C17" s="6"/>
      <c r="D17" s="6"/>
      <c r="E17" s="6"/>
      <c r="F17" s="6"/>
      <c r="G17" s="6"/>
      <c r="H17" s="6"/>
      <c r="I17" s="6"/>
      <c r="J17" s="6"/>
      <c r="K17" s="6"/>
      <c r="L17" s="6"/>
      <c r="M17" s="6"/>
      <c r="N17" s="6"/>
      <c r="O17" s="6"/>
      <c r="P17" s="8"/>
      <c r="Q17" s="1"/>
    </row>
    <row r="18" spans="1:17" ht="23.25" x14ac:dyDescent="0.25">
      <c r="A18" s="1"/>
      <c r="B18" s="5"/>
      <c r="C18" s="321" t="s">
        <v>152</v>
      </c>
      <c r="D18" s="322"/>
      <c r="E18" s="322"/>
      <c r="F18" s="322"/>
      <c r="G18" s="322"/>
      <c r="H18" s="322"/>
      <c r="I18" s="322"/>
      <c r="J18" s="322"/>
      <c r="K18" s="322"/>
      <c r="L18" s="322"/>
      <c r="M18" s="323"/>
      <c r="N18" s="13"/>
      <c r="O18" s="13"/>
      <c r="P18" s="8"/>
      <c r="Q18" s="1"/>
    </row>
    <row r="19" spans="1:17" ht="17.100000000000001" thickBot="1" x14ac:dyDescent="0.25">
      <c r="A19" s="1"/>
      <c r="B19" s="5"/>
      <c r="C19" s="14"/>
      <c r="D19" s="14"/>
      <c r="E19" s="14"/>
      <c r="F19" s="14"/>
      <c r="G19" s="14"/>
      <c r="H19" s="14"/>
      <c r="I19" s="14"/>
      <c r="J19" s="14"/>
      <c r="K19" s="14"/>
      <c r="L19" s="14"/>
      <c r="M19" s="14"/>
      <c r="N19" s="15"/>
      <c r="O19" s="15"/>
      <c r="P19" s="8"/>
      <c r="Q19" s="1"/>
    </row>
    <row r="20" spans="1:17" ht="150" customHeight="1" x14ac:dyDescent="0.25">
      <c r="A20" s="1"/>
      <c r="B20" s="5"/>
      <c r="C20" s="324" t="s">
        <v>153</v>
      </c>
      <c r="D20" s="325"/>
      <c r="E20" s="146" t="s">
        <v>52</v>
      </c>
      <c r="F20" s="326" t="s">
        <v>237</v>
      </c>
      <c r="G20" s="327"/>
      <c r="H20" s="327"/>
      <c r="I20" s="327"/>
      <c r="J20" s="327"/>
      <c r="K20" s="327"/>
      <c r="L20" s="327"/>
      <c r="M20" s="328"/>
      <c r="N20" s="15"/>
      <c r="O20" s="15"/>
      <c r="P20" s="8"/>
      <c r="Q20" s="1"/>
    </row>
    <row r="21" spans="1:17" ht="126.75" customHeight="1" x14ac:dyDescent="0.25">
      <c r="A21" s="1"/>
      <c r="B21" s="5"/>
      <c r="C21" s="308" t="s">
        <v>154</v>
      </c>
      <c r="D21" s="309"/>
      <c r="E21" s="147" t="s">
        <v>40</v>
      </c>
      <c r="F21" s="329" t="s">
        <v>238</v>
      </c>
      <c r="G21" s="330"/>
      <c r="H21" s="330"/>
      <c r="I21" s="330"/>
      <c r="J21" s="330"/>
      <c r="K21" s="330"/>
      <c r="L21" s="330"/>
      <c r="M21" s="331"/>
      <c r="N21" s="15"/>
      <c r="O21" s="15"/>
      <c r="P21" s="8"/>
      <c r="Q21" s="1"/>
    </row>
    <row r="22" spans="1:17" ht="151.5" customHeight="1" thickBot="1" x14ac:dyDescent="0.3">
      <c r="A22" s="1"/>
      <c r="B22" s="5"/>
      <c r="C22" s="310" t="s">
        <v>155</v>
      </c>
      <c r="D22" s="311"/>
      <c r="E22" s="148" t="s">
        <v>36</v>
      </c>
      <c r="F22" s="332" t="s">
        <v>239</v>
      </c>
      <c r="G22" s="333"/>
      <c r="H22" s="333"/>
      <c r="I22" s="333"/>
      <c r="J22" s="333"/>
      <c r="K22" s="333"/>
      <c r="L22" s="333"/>
      <c r="M22" s="334"/>
      <c r="N22" s="15"/>
      <c r="O22" s="15"/>
      <c r="P22" s="8"/>
      <c r="Q22" s="1"/>
    </row>
    <row r="23" spans="1:17" x14ac:dyDescent="0.2">
      <c r="A23" s="1"/>
      <c r="B23" s="5"/>
      <c r="C23" s="6"/>
      <c r="D23" s="6"/>
      <c r="E23" s="6"/>
      <c r="F23" s="6"/>
      <c r="G23" s="16"/>
      <c r="H23" s="6"/>
      <c r="I23" s="6"/>
      <c r="J23" s="6"/>
      <c r="K23" s="6"/>
      <c r="L23" s="6"/>
      <c r="M23" s="6"/>
      <c r="N23" s="6"/>
      <c r="O23" s="6"/>
      <c r="P23" s="8"/>
      <c r="Q23" s="1"/>
    </row>
    <row r="24" spans="1:17" ht="78.75" x14ac:dyDescent="0.25">
      <c r="A24" s="1"/>
      <c r="B24" s="5"/>
      <c r="C24" s="98" t="s">
        <v>156</v>
      </c>
      <c r="D24" s="99"/>
      <c r="E24" s="98" t="s">
        <v>157</v>
      </c>
      <c r="F24" s="99"/>
      <c r="G24" s="98" t="s">
        <v>158</v>
      </c>
      <c r="H24" s="99"/>
      <c r="I24" s="302" t="s">
        <v>159</v>
      </c>
      <c r="J24" s="302"/>
      <c r="K24" s="302"/>
      <c r="L24" s="302"/>
      <c r="M24" s="302"/>
      <c r="N24" s="33"/>
      <c r="O24" s="33"/>
      <c r="P24" s="8"/>
      <c r="Q24" s="17"/>
    </row>
    <row r="25" spans="1:17" ht="13.5" customHeight="1" thickBot="1" x14ac:dyDescent="0.25">
      <c r="A25" s="1"/>
      <c r="B25" s="5"/>
      <c r="C25" s="32"/>
      <c r="D25" s="18"/>
      <c r="E25" s="18"/>
      <c r="F25" s="18"/>
      <c r="G25" s="18"/>
      <c r="H25" s="18"/>
      <c r="I25" s="306"/>
      <c r="J25" s="306"/>
      <c r="K25" s="306"/>
      <c r="L25" s="306"/>
      <c r="M25" s="306"/>
      <c r="N25" s="34"/>
      <c r="O25" s="34"/>
      <c r="P25" s="8"/>
      <c r="Q25" s="1"/>
    </row>
    <row r="26" spans="1:17" ht="155.25" customHeight="1" x14ac:dyDescent="0.25">
      <c r="A26" s="1"/>
      <c r="B26" s="5"/>
      <c r="C26" s="89" t="s">
        <v>32</v>
      </c>
      <c r="D26" s="19"/>
      <c r="E26" s="144" t="str">
        <f>+IF(Hoja1!K2&gt;=0.5,"Si","No")</f>
        <v>Si</v>
      </c>
      <c r="F26" s="20"/>
      <c r="G26" s="145">
        <f>+Hoja1!K2</f>
        <v>0.79166666666666663</v>
      </c>
      <c r="H26" s="20"/>
      <c r="I26" s="303" t="s">
        <v>240</v>
      </c>
      <c r="J26" s="304"/>
      <c r="K26" s="304"/>
      <c r="L26" s="304"/>
      <c r="M26" s="305"/>
      <c r="N26" s="35"/>
      <c r="O26" s="36"/>
      <c r="P26" s="21"/>
      <c r="Q26" s="22"/>
    </row>
    <row r="27" spans="1:17" ht="27" thickBot="1" x14ac:dyDescent="0.35">
      <c r="A27" s="1"/>
      <c r="B27" s="5"/>
      <c r="C27" s="90"/>
      <c r="D27" s="23"/>
      <c r="E27" s="97"/>
      <c r="F27" s="18"/>
      <c r="G27" s="24"/>
      <c r="H27" s="18"/>
      <c r="I27" s="307"/>
      <c r="J27" s="307"/>
      <c r="K27" s="307"/>
      <c r="L27" s="307"/>
      <c r="M27" s="307"/>
      <c r="N27" s="37"/>
      <c r="O27" s="37"/>
      <c r="P27" s="8"/>
      <c r="Q27" s="1"/>
    </row>
    <row r="28" spans="1:17" ht="111.75" customHeight="1" x14ac:dyDescent="0.25">
      <c r="A28" s="1"/>
      <c r="B28" s="5"/>
      <c r="C28" s="91" t="s">
        <v>160</v>
      </c>
      <c r="D28" s="19"/>
      <c r="E28" s="144" t="str">
        <f>+IF(Hoja1!K14&gt;=0.5,"Si","No")</f>
        <v>Si</v>
      </c>
      <c r="F28" s="18"/>
      <c r="G28" s="145">
        <f>+Hoja1!K14</f>
        <v>0.9</v>
      </c>
      <c r="H28" s="18"/>
      <c r="I28" s="299" t="s">
        <v>241</v>
      </c>
      <c r="J28" s="300"/>
      <c r="K28" s="300"/>
      <c r="L28" s="300"/>
      <c r="M28" s="301"/>
      <c r="N28" s="35"/>
      <c r="O28" s="35"/>
      <c r="P28" s="8"/>
      <c r="Q28" s="1"/>
    </row>
    <row r="29" spans="1:17" ht="27" thickBot="1" x14ac:dyDescent="0.45">
      <c r="A29" s="1"/>
      <c r="B29" s="5"/>
      <c r="C29" s="90"/>
      <c r="D29" s="23"/>
      <c r="E29" s="97"/>
      <c r="F29" s="18"/>
      <c r="G29" s="24"/>
      <c r="H29" s="18"/>
      <c r="I29" s="307"/>
      <c r="J29" s="307"/>
      <c r="K29" s="307"/>
      <c r="L29" s="307"/>
      <c r="M29" s="307"/>
      <c r="N29" s="37"/>
      <c r="O29" s="37"/>
      <c r="P29" s="8"/>
      <c r="Q29" s="1"/>
    </row>
    <row r="30" spans="1:17" ht="123" customHeight="1" thickBot="1" x14ac:dyDescent="0.3">
      <c r="A30" s="1"/>
      <c r="B30" s="5"/>
      <c r="C30" s="92" t="s">
        <v>161</v>
      </c>
      <c r="D30" s="19"/>
      <c r="E30" s="144" t="str">
        <f>+IF(Hoja1!K24&gt;=0.5,"Si","No")</f>
        <v>Si</v>
      </c>
      <c r="F30" s="18"/>
      <c r="G30" s="145">
        <f>+Hoja1!K24</f>
        <v>0.8</v>
      </c>
      <c r="H30" s="18"/>
      <c r="I30" s="299" t="s">
        <v>162</v>
      </c>
      <c r="J30" s="300"/>
      <c r="K30" s="300"/>
      <c r="L30" s="300"/>
      <c r="M30" s="301"/>
      <c r="N30" s="35"/>
      <c r="O30" s="35"/>
      <c r="P30" s="8"/>
      <c r="Q30" s="1"/>
    </row>
    <row r="31" spans="1:17" ht="27" thickBot="1" x14ac:dyDescent="0.45">
      <c r="A31" s="1"/>
      <c r="B31" s="5"/>
      <c r="C31" s="90"/>
      <c r="D31" s="23"/>
      <c r="E31" s="97"/>
      <c r="F31" s="18"/>
      <c r="G31" s="24"/>
      <c r="H31" s="18"/>
      <c r="I31" s="307"/>
      <c r="J31" s="307"/>
      <c r="K31" s="307"/>
      <c r="L31" s="307"/>
      <c r="M31" s="307"/>
      <c r="N31" s="37"/>
      <c r="O31" s="37"/>
      <c r="P31" s="8"/>
      <c r="Q31" s="1"/>
    </row>
    <row r="32" spans="1:17" ht="171" customHeight="1" thickBot="1" x14ac:dyDescent="0.3">
      <c r="A32" s="1"/>
      <c r="B32" s="5"/>
      <c r="C32" s="93" t="s">
        <v>97</v>
      </c>
      <c r="D32" s="19"/>
      <c r="E32" s="144" t="str">
        <f>+IF(Hoja1!K29&gt;=0.5,"Si","No")</f>
        <v>Si</v>
      </c>
      <c r="F32" s="18"/>
      <c r="G32" s="145">
        <f>+Hoja1!K29</f>
        <v>0.7142857142857143</v>
      </c>
      <c r="H32" s="18"/>
      <c r="I32" s="299" t="s">
        <v>242</v>
      </c>
      <c r="J32" s="300"/>
      <c r="K32" s="300"/>
      <c r="L32" s="300"/>
      <c r="M32" s="301"/>
      <c r="N32" s="35"/>
      <c r="O32" s="35"/>
      <c r="P32" s="8"/>
      <c r="Q32" s="1"/>
    </row>
    <row r="33" spans="1:17" ht="27" thickBot="1" x14ac:dyDescent="0.45">
      <c r="A33" s="1"/>
      <c r="B33" s="5"/>
      <c r="C33" s="90"/>
      <c r="D33" s="23"/>
      <c r="E33" s="97"/>
      <c r="F33" s="18"/>
      <c r="G33" s="24"/>
      <c r="H33" s="18"/>
      <c r="I33" s="307"/>
      <c r="J33" s="307"/>
      <c r="K33" s="307"/>
      <c r="L33" s="307"/>
      <c r="M33" s="307"/>
      <c r="N33" s="37"/>
      <c r="O33" s="37"/>
      <c r="P33" s="8"/>
      <c r="Q33" s="1"/>
    </row>
    <row r="34" spans="1:17" ht="164.25" customHeight="1" thickBot="1" x14ac:dyDescent="0.3">
      <c r="A34" s="1"/>
      <c r="B34" s="5"/>
      <c r="C34" s="94" t="s">
        <v>163</v>
      </c>
      <c r="D34" s="19"/>
      <c r="E34" s="96" t="str">
        <f>+IF(Hoja1!K36&gt;=0.5,"Si","No")</f>
        <v>Si</v>
      </c>
      <c r="F34" s="18"/>
      <c r="G34" s="145">
        <f>+Hoja1!K36</f>
        <v>0.75</v>
      </c>
      <c r="H34" s="18"/>
      <c r="I34" s="299" t="s">
        <v>243</v>
      </c>
      <c r="J34" s="300"/>
      <c r="K34" s="300"/>
      <c r="L34" s="300"/>
      <c r="M34" s="301"/>
      <c r="N34" s="35"/>
      <c r="O34" s="35"/>
      <c r="P34" s="8"/>
      <c r="Q34" s="1"/>
    </row>
    <row r="35" spans="1:17" ht="15.75" x14ac:dyDescent="0.25">
      <c r="A35" s="1"/>
      <c r="B35" s="5"/>
      <c r="C35" s="25"/>
      <c r="D35" s="25"/>
      <c r="E35" s="15"/>
      <c r="F35" s="6"/>
      <c r="G35" s="6"/>
      <c r="H35" s="6"/>
      <c r="I35" s="6"/>
      <c r="J35" s="6"/>
      <c r="K35" s="6"/>
      <c r="L35" s="6"/>
      <c r="M35" s="26"/>
      <c r="N35" s="26"/>
      <c r="O35" s="26"/>
      <c r="P35" s="8"/>
      <c r="Q35" s="1"/>
    </row>
    <row r="36" spans="1:17" ht="15.75" x14ac:dyDescent="0.25">
      <c r="A36" s="1"/>
      <c r="B36" s="5"/>
      <c r="C36" s="27"/>
      <c r="D36" s="25"/>
      <c r="E36" s="15"/>
      <c r="F36" s="6"/>
      <c r="G36" s="6"/>
      <c r="H36" s="6"/>
      <c r="I36" s="6"/>
      <c r="J36" s="6"/>
      <c r="K36" s="6"/>
      <c r="L36" s="6"/>
      <c r="M36" s="26"/>
      <c r="N36" s="26"/>
      <c r="O36" s="26"/>
      <c r="P36" s="8"/>
      <c r="Q36" s="1"/>
    </row>
    <row r="37" spans="1:17" x14ac:dyDescent="0.25">
      <c r="A37" s="1"/>
      <c r="B37" s="5"/>
      <c r="C37" s="28"/>
      <c r="D37" s="6"/>
      <c r="E37" s="6"/>
      <c r="F37" s="6"/>
      <c r="G37" s="6"/>
      <c r="H37" s="6"/>
      <c r="I37" s="6"/>
      <c r="J37" s="6"/>
      <c r="K37" s="6"/>
      <c r="L37" s="6"/>
      <c r="M37" s="6"/>
      <c r="N37" s="6"/>
      <c r="O37" s="6"/>
      <c r="P37" s="8"/>
      <c r="Q37" s="1"/>
    </row>
    <row r="38" spans="1:17" ht="15.75" thickBot="1" x14ac:dyDescent="0.3">
      <c r="A38" s="1"/>
      <c r="B38" s="29"/>
      <c r="C38" s="30"/>
      <c r="D38" s="30"/>
      <c r="E38" s="30"/>
      <c r="F38" s="30"/>
      <c r="G38" s="30"/>
      <c r="H38" s="30"/>
      <c r="I38" s="30"/>
      <c r="J38" s="30"/>
      <c r="K38" s="30"/>
      <c r="L38" s="30"/>
      <c r="M38" s="30"/>
      <c r="N38" s="30"/>
      <c r="O38" s="30"/>
      <c r="P38" s="31"/>
      <c r="Q38" s="1"/>
    </row>
    <row r="39" spans="1:17" ht="15.75" thickTop="1" x14ac:dyDescent="0.25">
      <c r="A39" s="1"/>
      <c r="B39" s="1"/>
      <c r="C39" s="1"/>
      <c r="D39" s="1"/>
      <c r="E39" s="1"/>
      <c r="F39" s="1"/>
      <c r="G39" s="1"/>
      <c r="H39" s="1"/>
      <c r="I39" s="1"/>
      <c r="J39" s="1"/>
      <c r="K39" s="1"/>
      <c r="L39" s="1"/>
      <c r="M39" s="1"/>
      <c r="N39" s="1"/>
      <c r="O39" s="1"/>
      <c r="P39" s="1"/>
      <c r="Q39" s="1"/>
    </row>
    <row r="40" spans="1:17" x14ac:dyDescent="0.25">
      <c r="A40" s="1"/>
      <c r="B40" s="1"/>
      <c r="C40" s="1"/>
      <c r="D40" s="1"/>
      <c r="E40" s="1"/>
      <c r="F40" s="1"/>
      <c r="G40" s="1"/>
      <c r="H40" s="1"/>
      <c r="I40" s="1"/>
      <c r="J40" s="1"/>
      <c r="K40" s="1"/>
      <c r="L40" s="1"/>
      <c r="M40" s="1"/>
      <c r="N40" s="1"/>
      <c r="O40" s="1"/>
      <c r="P40" s="1"/>
      <c r="Q40" s="1"/>
    </row>
    <row r="41" spans="1:17" x14ac:dyDescent="0.25">
      <c r="A41" s="1"/>
      <c r="B41" s="1"/>
      <c r="C41" s="1"/>
      <c r="D41" s="1"/>
      <c r="E41" s="1"/>
      <c r="F41" s="1"/>
      <c r="G41" s="1"/>
      <c r="H41" s="1"/>
      <c r="I41" s="1"/>
      <c r="J41" s="1"/>
      <c r="K41" s="1"/>
      <c r="L41" s="1"/>
      <c r="M41" s="1"/>
      <c r="N41" s="1"/>
      <c r="O41" s="1"/>
      <c r="P41" s="1"/>
      <c r="Q41" s="1"/>
    </row>
  </sheetData>
  <sheetProtection algorithmName="SHA-512" hashValue="mur5Q3PEaZxn8LXLz/eSymodHMyMcb7gr8gXWBwpSU/m7uV0ZPVWkcKOdJlg0OS/SXBXX9P/iBb2vTO1mWy68A==" saltValue="abZlHLcGIMQMz4F8z7vkTw==" spinCount="100000" sheet="1" objects="1" scenarios="1" formatCells="0" formatRows="0"/>
  <mergeCells count="22">
    <mergeCell ref="C21:D21"/>
    <mergeCell ref="C22:D22"/>
    <mergeCell ref="E4:E5"/>
    <mergeCell ref="F4:M5"/>
    <mergeCell ref="F6:M6"/>
    <mergeCell ref="I8:K8"/>
    <mergeCell ref="C18:M18"/>
    <mergeCell ref="C20:D20"/>
    <mergeCell ref="F20:M20"/>
    <mergeCell ref="F21:M21"/>
    <mergeCell ref="F22:M22"/>
    <mergeCell ref="I34:M34"/>
    <mergeCell ref="I30:M30"/>
    <mergeCell ref="I32:M32"/>
    <mergeCell ref="I24:M24"/>
    <mergeCell ref="I26:M26"/>
    <mergeCell ref="I28:M28"/>
    <mergeCell ref="I25:M25"/>
    <mergeCell ref="I27:M27"/>
    <mergeCell ref="I29:M29"/>
    <mergeCell ref="I31:M31"/>
    <mergeCell ref="I33:M33"/>
  </mergeCells>
  <conditionalFormatting sqref="G26 G28 G30 G32 G34">
    <cfRule type="cellIs" priority="4" operator="between">
      <formula>0.75</formula>
      <formula>1</formula>
    </cfRule>
    <cfRule type="cellIs" dxfId="11" priority="5" operator="between">
      <formula>0.5</formula>
      <formula>0.75</formula>
    </cfRule>
    <cfRule type="cellIs" dxfId="10" priority="6" operator="between">
      <formula>0</formula>
      <formula>0.49</formula>
    </cfRule>
    <cfRule type="cellIs" dxfId="9" priority="31" operator="between">
      <formula>0.76</formula>
      <formula>1</formula>
    </cfRule>
    <cfRule type="cellIs" dxfId="8" priority="32" operator="between">
      <formula>0.51</formula>
      <formula>0.75</formula>
    </cfRule>
    <cfRule type="cellIs" dxfId="7" priority="33" operator="between">
      <formula>0.26</formula>
      <formula>0.5</formula>
    </cfRule>
  </conditionalFormatting>
  <conditionalFormatting sqref="M8">
    <cfRule type="cellIs" dxfId="6" priority="1" operator="between">
      <formula>0.75</formula>
      <formula>1</formula>
    </cfRule>
    <cfRule type="cellIs" dxfId="5" priority="2" operator="between">
      <formula>0.5</formula>
      <formula>0.75</formula>
    </cfRule>
    <cfRule type="cellIs" dxfId="4" priority="3" operator="between">
      <formula>0</formula>
      <formula>0.49</formula>
    </cfRule>
    <cfRule type="cellIs" priority="27" operator="between">
      <formula>0.76</formula>
      <formula>1</formula>
    </cfRule>
    <cfRule type="cellIs" dxfId="3" priority="28" operator="between">
      <formula>0.51</formula>
      <formula>0.75</formula>
    </cfRule>
    <cfRule type="cellIs" dxfId="2" priority="29" operator="between">
      <formula>0.26</formula>
      <formula>0.5</formula>
    </cfRule>
    <cfRule type="cellIs" dxfId="1" priority="30" operator="between">
      <formula>0</formula>
      <formula>0.25</formula>
    </cfRule>
  </conditionalFormatting>
  <dataValidations count="3">
    <dataValidation type="list" allowBlank="1" showInputMessage="1" showErrorMessage="1" sqref="E21:E22">
      <formula1>"Si, No"</formula1>
    </dataValidation>
    <dataValidation allowBlank="1" showInputMessage="1" showErrorMessage="1" prompt="Celda formulada, información proveniente de la pestaña de deficiencias." sqref="E24"/>
    <dataValidation type="list" allowBlank="1" showInputMessage="1" showErrorMessage="1" sqref="E20">
      <formula1>"Si,En proceso,No"</formula1>
    </dataValidation>
  </dataValidations>
  <pageMargins left="0.7" right="0.7" top="0.75" bottom="0.75" header="0.3" footer="0.3"/>
  <pageSetup orientation="portrait" horizontalDpi="300" verticalDpi="300" r:id="rId1"/>
  <drawing r:id="rId2"/>
  <extLst>
    <ext xmlns:x14="http://schemas.microsoft.com/office/spreadsheetml/2009/9/main" uri="{78C0D931-6437-407d-A8EE-F0AAD7539E65}">
      <x14:conditionalFormattings>
        <x14:conditionalFormatting xmlns:xm="http://schemas.microsoft.com/office/excel/2006/main">
          <x14:cfRule type="cellIs" priority="34" operator="between" id="{7ADAD4B9-72C7-4518-BD8A-A7D8DD349CD9}">
            <xm:f>0</xm:f>
            <xm:f>'/Users/cmejia/Library/Containers/com.microsoft.Excel/Data/Documents/C:\Users\dell\Desktop\cesar\HISTORICOS\[2020-04-22_Formato_informe_sci_parametrizado_final.xlsx]Analisis de Resultados'!#REF!</xm:f>
            <x14:dxf>
              <fill>
                <patternFill>
                  <bgColor rgb="FFFF0000"/>
                </patternFill>
              </fill>
            </x14:dxf>
          </x14:cfRule>
          <xm:sqref>G26 G28 G30 G32 G34</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workbookViewId="0">
      <selection activeCell="F2" sqref="F2"/>
    </sheetView>
  </sheetViews>
  <sheetFormatPr baseColWidth="10" defaultColWidth="11.42578125" defaultRowHeight="15" x14ac:dyDescent="0.25"/>
  <cols>
    <col min="2" max="2" width="31" bestFit="1" customWidth="1"/>
    <col min="3" max="3" width="17.140625" customWidth="1"/>
    <col min="5" max="5" width="15.140625" customWidth="1"/>
    <col min="10" max="10" width="15.7109375" customWidth="1"/>
    <col min="11" max="11" width="12" bestFit="1" customWidth="1"/>
  </cols>
  <sheetData>
    <row r="1" spans="1:11" ht="84.75" customHeight="1" x14ac:dyDescent="0.25">
      <c r="A1" s="149" t="s">
        <v>25</v>
      </c>
      <c r="B1" s="149" t="s">
        <v>6</v>
      </c>
      <c r="C1" s="150" t="s">
        <v>8</v>
      </c>
      <c r="D1" s="151" t="s">
        <v>26</v>
      </c>
      <c r="E1" s="151" t="s">
        <v>27</v>
      </c>
      <c r="F1" s="151" t="s">
        <v>164</v>
      </c>
      <c r="G1" s="152" t="s">
        <v>165</v>
      </c>
      <c r="H1" s="152" t="s">
        <v>166</v>
      </c>
      <c r="I1" s="152" t="s">
        <v>143</v>
      </c>
      <c r="J1" s="152" t="s">
        <v>167</v>
      </c>
      <c r="K1" s="152" t="s">
        <v>168</v>
      </c>
    </row>
    <row r="2" spans="1:11" x14ac:dyDescent="0.25">
      <c r="A2" s="153" t="s">
        <v>169</v>
      </c>
      <c r="B2" s="153" t="str">
        <f>+VLOOKUP(A2,'Estado SCI'!$A$16:$C$59,3,0)</f>
        <v>AMBIENTE DE CONTROL</v>
      </c>
      <c r="C2" s="153" t="s">
        <v>33</v>
      </c>
      <c r="D2" s="153" t="s">
        <v>34</v>
      </c>
      <c r="E2" s="153" t="s">
        <v>35</v>
      </c>
      <c r="F2" s="153" t="str">
        <f>+VLOOKUP(A2,'Estado SCI'!$A$16:$I$59,9,0)</f>
        <v>Deficiencia de control</v>
      </c>
      <c r="G2" s="153">
        <f>+VLOOKUP(A2,'Estado SCI'!$A$16:$L$59,12,0)</f>
        <v>0.123</v>
      </c>
      <c r="H2" s="153">
        <f t="shared" ref="H2:H45" si="0">+_xlfn.RANK.EQ(G2,$G$2:$G$45,1)</f>
        <v>1</v>
      </c>
      <c r="I2" s="153" t="str">
        <f>+IF(VLOOKUP(A2,'Estado SCI'!$A$16:$G$59,7,0)="","",VLOOKUP(A2,'Estado SCI'!$A$16:$G$59,7,0))</f>
        <v>No</v>
      </c>
      <c r="J2" s="154">
        <f>+IF(I2="Si",1,IF(I2="En proceso",0.5,0))</f>
        <v>0</v>
      </c>
      <c r="K2" s="155">
        <f t="shared" ref="K2:K45" si="1">+AVERAGEIF($B$2:$B$45,B2,$J$2:$J$45)</f>
        <v>0.79166666666666663</v>
      </c>
    </row>
    <row r="3" spans="1:11" x14ac:dyDescent="0.25">
      <c r="A3" s="153" t="s">
        <v>170</v>
      </c>
      <c r="B3" s="153" t="s">
        <v>32</v>
      </c>
      <c r="C3" s="153" t="s">
        <v>33</v>
      </c>
      <c r="D3" s="153" t="s">
        <v>38</v>
      </c>
      <c r="E3" s="153" t="s">
        <v>39</v>
      </c>
      <c r="F3" s="153" t="str">
        <f>+VLOOKUP(A3,'Estado SCI'!$A$16:$I$59,9,0)</f>
        <v>Mantenimiento del control</v>
      </c>
      <c r="G3" s="153">
        <f>+VLOOKUP(A3,'Estado SCI'!$A$16:$L$59,12,0)</f>
        <v>20.1234</v>
      </c>
      <c r="H3" s="153">
        <f t="shared" si="0"/>
        <v>4</v>
      </c>
      <c r="I3" s="153" t="str">
        <f>+IF(VLOOKUP(A3,'Estado SCI'!$A$16:$G$59,7,0)="","",VLOOKUP(A3,'Estado SCI'!$A$16:$G$59,7,0))</f>
        <v>Si</v>
      </c>
      <c r="J3" s="154">
        <f t="shared" ref="J3:J45" si="2">+IF(I3="Si",1,IF(I3="En proceso",0.5,0))</f>
        <v>1</v>
      </c>
      <c r="K3" s="155">
        <f t="shared" si="1"/>
        <v>0.79166666666666663</v>
      </c>
    </row>
    <row r="4" spans="1:11" x14ac:dyDescent="0.25">
      <c r="A4" s="153" t="s">
        <v>171</v>
      </c>
      <c r="B4" s="153" t="s">
        <v>32</v>
      </c>
      <c r="C4" s="153" t="s">
        <v>33</v>
      </c>
      <c r="D4" s="153" t="s">
        <v>42</v>
      </c>
      <c r="E4" s="153" t="s">
        <v>43</v>
      </c>
      <c r="F4" s="153" t="str">
        <f>+VLOOKUP(A4,'Estado SCI'!$A$16:$I$59,9,0)</f>
        <v>Mantenimiento del control</v>
      </c>
      <c r="G4" s="153">
        <f>+VLOOKUP(A4,'Estado SCI'!$A$16:$L$59,12,0)</f>
        <v>20.123449999999998</v>
      </c>
      <c r="H4" s="153">
        <f t="shared" si="0"/>
        <v>5</v>
      </c>
      <c r="I4" s="153" t="str">
        <f>+IF(VLOOKUP(A4,'Estado SCI'!$A$16:$G$59,7,0)="","",VLOOKUP(A4,'Estado SCI'!$A$16:$G$59,7,0))</f>
        <v>Si</v>
      </c>
      <c r="J4" s="154">
        <f t="shared" si="2"/>
        <v>1</v>
      </c>
      <c r="K4" s="155">
        <f t="shared" si="1"/>
        <v>0.79166666666666663</v>
      </c>
    </row>
    <row r="5" spans="1:11" x14ac:dyDescent="0.25">
      <c r="A5" s="153" t="s">
        <v>172</v>
      </c>
      <c r="B5" s="153" t="s">
        <v>32</v>
      </c>
      <c r="C5" s="153" t="s">
        <v>33</v>
      </c>
      <c r="D5" s="153" t="s">
        <v>44</v>
      </c>
      <c r="E5" s="153" t="s">
        <v>45</v>
      </c>
      <c r="F5" s="153" t="str">
        <f>+VLOOKUP(A5,'Estado SCI'!$A$16:$I$59,9,0)</f>
        <v>Mantenimiento del control</v>
      </c>
      <c r="G5" s="153">
        <f>+VLOOKUP(A5,'Estado SCI'!$A$16:$L$59,12,0)</f>
        <v>20.123456000000001</v>
      </c>
      <c r="H5" s="153">
        <f t="shared" si="0"/>
        <v>6</v>
      </c>
      <c r="I5" s="153" t="str">
        <f>+IF(VLOOKUP(A5,'Estado SCI'!$A$16:$G$59,7,0)="","",VLOOKUP(A5,'Estado SCI'!$A$16:$G$59,7,0))</f>
        <v>Si</v>
      </c>
      <c r="J5" s="154">
        <f t="shared" si="2"/>
        <v>1</v>
      </c>
      <c r="K5" s="155">
        <f t="shared" si="1"/>
        <v>0.79166666666666663</v>
      </c>
    </row>
    <row r="6" spans="1:11" x14ac:dyDescent="0.25">
      <c r="A6" s="153" t="s">
        <v>173</v>
      </c>
      <c r="B6" s="153" t="s">
        <v>32</v>
      </c>
      <c r="C6" s="153" t="s">
        <v>33</v>
      </c>
      <c r="D6" s="153" t="s">
        <v>47</v>
      </c>
      <c r="E6" s="153" t="s">
        <v>48</v>
      </c>
      <c r="F6" s="153" t="str">
        <f>+VLOOKUP(A6,'Estado SCI'!$A$16:$I$59,9,0)</f>
        <v>Mantenimiento del control</v>
      </c>
      <c r="G6" s="153">
        <f>+VLOOKUP(A6,'Estado SCI'!$A$16:$L$59,12,0)</f>
        <v>20.123456780000001</v>
      </c>
      <c r="H6" s="153">
        <f t="shared" si="0"/>
        <v>7</v>
      </c>
      <c r="I6" s="153" t="str">
        <f>+IF(VLOOKUP(A6,'Estado SCI'!$A$16:$G$59,7,0)="","",VLOOKUP(A6,'Estado SCI'!$A$16:$G$59,7,0))</f>
        <v>Si</v>
      </c>
      <c r="J6" s="154">
        <f t="shared" si="2"/>
        <v>1</v>
      </c>
      <c r="K6" s="155">
        <f t="shared" si="1"/>
        <v>0.79166666666666663</v>
      </c>
    </row>
    <row r="7" spans="1:11" x14ac:dyDescent="0.25">
      <c r="A7" s="153" t="s">
        <v>174</v>
      </c>
      <c r="B7" s="153" t="s">
        <v>32</v>
      </c>
      <c r="C7" s="153" t="s">
        <v>33</v>
      </c>
      <c r="D7" s="153" t="s">
        <v>50</v>
      </c>
      <c r="E7" s="153" t="s">
        <v>51</v>
      </c>
      <c r="F7" s="153" t="str">
        <f>+VLOOKUP(A7,'Estado SCI'!$A$16:$I$59,9,0)</f>
        <v>Mantenimiento del control</v>
      </c>
      <c r="G7" s="153">
        <f>+VLOOKUP(A7,'Estado SCI'!$A$16:$L$59,12,0)</f>
        <v>20.123456788999999</v>
      </c>
      <c r="H7" s="153">
        <f t="shared" si="0"/>
        <v>8</v>
      </c>
      <c r="I7" s="153" t="str">
        <f>+IF(VLOOKUP(A7,'Estado SCI'!$A$16:$G$59,7,0)="","",VLOOKUP(A7,'Estado SCI'!$A$16:$G$59,7,0))</f>
        <v>Si</v>
      </c>
      <c r="J7" s="154">
        <f t="shared" si="2"/>
        <v>1</v>
      </c>
      <c r="K7" s="155">
        <f t="shared" si="1"/>
        <v>0.79166666666666663</v>
      </c>
    </row>
    <row r="8" spans="1:11" x14ac:dyDescent="0.25">
      <c r="A8" s="153" t="s">
        <v>175</v>
      </c>
      <c r="B8" s="153" t="s">
        <v>32</v>
      </c>
      <c r="C8" s="153" t="s">
        <v>33</v>
      </c>
      <c r="D8" s="153" t="s">
        <v>53</v>
      </c>
      <c r="E8" s="153" t="s">
        <v>54</v>
      </c>
      <c r="F8" s="153" t="str">
        <f>+VLOOKUP(A8,'Estado SCI'!$A$16:$I$59,9,0)</f>
        <v>Mantenimiento del control</v>
      </c>
      <c r="G8" s="153">
        <f>+VLOOKUP(A8,'Estado SCI'!$A$16:$L$59,12,0)</f>
        <v>20.1234567891</v>
      </c>
      <c r="H8" s="153">
        <f t="shared" si="0"/>
        <v>9</v>
      </c>
      <c r="I8" s="153" t="str">
        <f>+IF(VLOOKUP(A8,'Estado SCI'!$A$16:$G$59,7,0)="","",VLOOKUP(A8,'Estado SCI'!$A$16:$G$59,7,0))</f>
        <v>Si</v>
      </c>
      <c r="J8" s="154">
        <f t="shared" si="2"/>
        <v>1</v>
      </c>
      <c r="K8" s="155">
        <f t="shared" si="1"/>
        <v>0.79166666666666663</v>
      </c>
    </row>
    <row r="9" spans="1:11" x14ac:dyDescent="0.25">
      <c r="A9" s="153" t="s">
        <v>176</v>
      </c>
      <c r="B9" s="153" t="s">
        <v>32</v>
      </c>
      <c r="C9" s="153" t="s">
        <v>33</v>
      </c>
      <c r="D9" s="153" t="s">
        <v>55</v>
      </c>
      <c r="E9" s="153" t="s">
        <v>56</v>
      </c>
      <c r="F9" s="153" t="str">
        <f>+VLOOKUP(A9,'Estado SCI'!$A$16:$I$59,9,0)</f>
        <v>Oportunidad de mejora</v>
      </c>
      <c r="G9" s="153">
        <f>+VLOOKUP(A9,'Estado SCI'!$A$16:$L$59,12,0)</f>
        <v>10.12345678912</v>
      </c>
      <c r="H9" s="153">
        <f t="shared" si="0"/>
        <v>3</v>
      </c>
      <c r="I9" s="153" t="str">
        <f>+IF(VLOOKUP(A9,'Estado SCI'!$A$16:$G$59,7,0)="","",VLOOKUP(A9,'Estado SCI'!$A$16:$G$59,7,0))</f>
        <v>En proceso</v>
      </c>
      <c r="J9" s="154">
        <f t="shared" si="2"/>
        <v>0.5</v>
      </c>
      <c r="K9" s="155">
        <f t="shared" si="1"/>
        <v>0.79166666666666663</v>
      </c>
    </row>
    <row r="10" spans="1:11" x14ac:dyDescent="0.25">
      <c r="A10" s="153" t="s">
        <v>177</v>
      </c>
      <c r="B10" s="153" t="s">
        <v>32</v>
      </c>
      <c r="C10" s="153" t="s">
        <v>33</v>
      </c>
      <c r="D10" s="153" t="s">
        <v>57</v>
      </c>
      <c r="E10" s="153" t="s">
        <v>58</v>
      </c>
      <c r="F10" s="153" t="str">
        <f>+VLOOKUP(A10,'Estado SCI'!$A$16:$I$59,9,0)</f>
        <v>Mantenimiento del control</v>
      </c>
      <c r="G10" s="153">
        <f>+VLOOKUP(A10,'Estado SCI'!$A$16:$L$59,12,0)</f>
        <v>20.123456789123001</v>
      </c>
      <c r="H10" s="153">
        <f t="shared" si="0"/>
        <v>10</v>
      </c>
      <c r="I10" s="153" t="str">
        <f>+IF(VLOOKUP(A10,'Estado SCI'!$A$16:$G$59,7,0)="","",VLOOKUP(A10,'Estado SCI'!$A$16:$G$59,7,0))</f>
        <v>Si</v>
      </c>
      <c r="J10" s="154">
        <f t="shared" si="2"/>
        <v>1</v>
      </c>
      <c r="K10" s="155">
        <f t="shared" si="1"/>
        <v>0.79166666666666663</v>
      </c>
    </row>
    <row r="11" spans="1:11" x14ac:dyDescent="0.25">
      <c r="A11" s="153" t="s">
        <v>178</v>
      </c>
      <c r="B11" s="153" t="s">
        <v>32</v>
      </c>
      <c r="C11" s="153" t="s">
        <v>33</v>
      </c>
      <c r="D11" s="153" t="s">
        <v>59</v>
      </c>
      <c r="E11" s="153" t="s">
        <v>60</v>
      </c>
      <c r="F11" s="153" t="str">
        <f>+VLOOKUP(A11,'Estado SCI'!$A$16:$I$59,9,0)</f>
        <v>Deficiencia de control</v>
      </c>
      <c r="G11" s="153">
        <f>+VLOOKUP(A11,'Estado SCI'!$A$16:$L$59,12,0)</f>
        <v>0.1234567891234</v>
      </c>
      <c r="H11" s="153">
        <f t="shared" si="0"/>
        <v>2</v>
      </c>
      <c r="I11" s="153" t="str">
        <f>+IF(VLOOKUP(A11,'Estado SCI'!$A$16:$G$59,7,0)="","",VLOOKUP(A11,'Estado SCI'!$A$16:$G$59,7,0))</f>
        <v>No</v>
      </c>
      <c r="J11" s="154">
        <f t="shared" si="2"/>
        <v>0</v>
      </c>
      <c r="K11" s="155">
        <f t="shared" si="1"/>
        <v>0.79166666666666663</v>
      </c>
    </row>
    <row r="12" spans="1:11" x14ac:dyDescent="0.25">
      <c r="A12" s="153" t="s">
        <v>179</v>
      </c>
      <c r="B12" s="153" t="s">
        <v>32</v>
      </c>
      <c r="C12" s="153" t="s">
        <v>33</v>
      </c>
      <c r="D12" s="153" t="s">
        <v>62</v>
      </c>
      <c r="E12" s="153" t="s">
        <v>63</v>
      </c>
      <c r="F12" s="153" t="str">
        <f>+VLOOKUP(A12,'Estado SCI'!$A$16:$I$59,9,0)</f>
        <v>Mantenimiento del control</v>
      </c>
      <c r="G12" s="153">
        <f>+VLOOKUP(A12,'Estado SCI'!$A$16:$L$59,12,0)</f>
        <v>20.123456789123448</v>
      </c>
      <c r="H12" s="153">
        <f t="shared" si="0"/>
        <v>11</v>
      </c>
      <c r="I12" s="153" t="str">
        <f>+IF(VLOOKUP(A12,'Estado SCI'!$A$16:$G$59,7,0)="","",VLOOKUP(A12,'Estado SCI'!$A$16:$G$59,7,0))</f>
        <v>Si</v>
      </c>
      <c r="J12" s="154">
        <f t="shared" si="2"/>
        <v>1</v>
      </c>
      <c r="K12" s="155">
        <f t="shared" si="1"/>
        <v>0.79166666666666663</v>
      </c>
    </row>
    <row r="13" spans="1:11" x14ac:dyDescent="0.25">
      <c r="A13" s="153" t="s">
        <v>180</v>
      </c>
      <c r="B13" s="153" t="s">
        <v>32</v>
      </c>
      <c r="C13" s="153" t="s">
        <v>33</v>
      </c>
      <c r="D13" s="153" t="s">
        <v>65</v>
      </c>
      <c r="E13" s="153" t="s">
        <v>66</v>
      </c>
      <c r="F13" s="153" t="str">
        <f>+VLOOKUP(A13,'Estado SCI'!$A$16:$I$59,9,0)</f>
        <v>Mantenimiento del control</v>
      </c>
      <c r="G13" s="153">
        <f>+VLOOKUP(A13,'Estado SCI'!$A$16:$L$59,12,0)</f>
        <v>20.123456789123455</v>
      </c>
      <c r="H13" s="153">
        <f t="shared" si="0"/>
        <v>12</v>
      </c>
      <c r="I13" s="153" t="str">
        <f>+IF(VLOOKUP(A13,'Estado SCI'!$A$16:$G$59,7,0)="","",VLOOKUP(A13,'Estado SCI'!$A$16:$G$59,7,0))</f>
        <v>Si</v>
      </c>
      <c r="J13" s="154">
        <f t="shared" si="2"/>
        <v>1</v>
      </c>
      <c r="K13" s="155">
        <f t="shared" si="1"/>
        <v>0.79166666666666663</v>
      </c>
    </row>
    <row r="14" spans="1:11" ht="15" customHeight="1" x14ac:dyDescent="0.25">
      <c r="A14" s="153" t="s">
        <v>181</v>
      </c>
      <c r="B14" s="153" t="str">
        <f>+VLOOKUP(A14,'Estado SCI'!$A$16:$C$59,3,0)</f>
        <v>EVALUACION DEL RIESGO</v>
      </c>
      <c r="C14" s="153" t="s">
        <v>70</v>
      </c>
      <c r="D14" s="153" t="s">
        <v>34</v>
      </c>
      <c r="E14" s="153" t="s">
        <v>182</v>
      </c>
      <c r="F14" s="153" t="str">
        <f>+VLOOKUP(A14,'Estado SCI'!$A$16:$I$59,9,0)</f>
        <v>Oportunidad de mejora</v>
      </c>
      <c r="G14" s="153">
        <f>+VLOOKUP(A14,'Estado SCI'!$A$16:$L$59,12,0)</f>
        <v>30.23</v>
      </c>
      <c r="H14" s="153">
        <f t="shared" si="0"/>
        <v>13</v>
      </c>
      <c r="I14" s="153" t="str">
        <f>+IF(VLOOKUP(A14,'Estado SCI'!$A$16:$G$59,7,0)="","",VLOOKUP(A14,'Estado SCI'!$A$16:$G$59,7,0))</f>
        <v>En proceso</v>
      </c>
      <c r="J14" s="154">
        <f t="shared" si="2"/>
        <v>0.5</v>
      </c>
      <c r="K14" s="155">
        <f t="shared" si="1"/>
        <v>0.9</v>
      </c>
    </row>
    <row r="15" spans="1:11" ht="15" customHeight="1" x14ac:dyDescent="0.25">
      <c r="A15" s="153" t="s">
        <v>183</v>
      </c>
      <c r="B15" s="153" t="s">
        <v>69</v>
      </c>
      <c r="C15" s="153" t="s">
        <v>70</v>
      </c>
      <c r="D15" s="153" t="s">
        <v>38</v>
      </c>
      <c r="E15" s="153" t="s">
        <v>184</v>
      </c>
      <c r="F15" s="153" t="str">
        <f>+VLOOKUP(A15,'Estado SCI'!$A$16:$I$59,9,0)</f>
        <v>Mantenimiento del control</v>
      </c>
      <c r="G15" s="153">
        <f>+VLOOKUP(A15,'Estado SCI'!$A$16:$L$59,12,0)</f>
        <v>40.234000000000002</v>
      </c>
      <c r="H15" s="153">
        <f t="shared" si="0"/>
        <v>15</v>
      </c>
      <c r="I15" s="153" t="str">
        <f>+IF(VLOOKUP(A15,'Estado SCI'!$A$16:$G$59,7,0)="","",VLOOKUP(A15,'Estado SCI'!$A$16:$G$59,7,0))</f>
        <v>Si</v>
      </c>
      <c r="J15" s="154">
        <f t="shared" si="2"/>
        <v>1</v>
      </c>
      <c r="K15" s="155">
        <f t="shared" si="1"/>
        <v>0.9</v>
      </c>
    </row>
    <row r="16" spans="1:11" ht="15" customHeight="1" x14ac:dyDescent="0.25">
      <c r="A16" s="153" t="s">
        <v>185</v>
      </c>
      <c r="B16" s="153" t="s">
        <v>69</v>
      </c>
      <c r="C16" s="153" t="s">
        <v>70</v>
      </c>
      <c r="D16" s="153" t="s">
        <v>42</v>
      </c>
      <c r="E16" s="153" t="s">
        <v>186</v>
      </c>
      <c r="F16" s="153" t="str">
        <f>+VLOOKUP(A16,'Estado SCI'!$A$16:$I$59,9,0)</f>
        <v>Mantenimiento del control</v>
      </c>
      <c r="G16" s="153">
        <f>+VLOOKUP(A16,'Estado SCI'!$A$16:$L$59,12,0)</f>
        <v>40.234499999999997</v>
      </c>
      <c r="H16" s="153">
        <f t="shared" si="0"/>
        <v>16</v>
      </c>
      <c r="I16" s="153" t="str">
        <f>+IF(VLOOKUP(A16,'Estado SCI'!$A$16:$G$59,7,0)="","",VLOOKUP(A16,'Estado SCI'!$A$16:$G$59,7,0))</f>
        <v>Si</v>
      </c>
      <c r="J16" s="154">
        <f t="shared" si="2"/>
        <v>1</v>
      </c>
      <c r="K16" s="155">
        <f t="shared" si="1"/>
        <v>0.9</v>
      </c>
    </row>
    <row r="17" spans="1:11" ht="15.75" customHeight="1" x14ac:dyDescent="0.25">
      <c r="A17" s="153" t="s">
        <v>187</v>
      </c>
      <c r="B17" s="153" t="s">
        <v>69</v>
      </c>
      <c r="C17" s="153" t="s">
        <v>70</v>
      </c>
      <c r="D17" s="153" t="s">
        <v>44</v>
      </c>
      <c r="E17" s="153" t="s">
        <v>74</v>
      </c>
      <c r="F17" s="153" t="str">
        <f>+VLOOKUP(A17,'Estado SCI'!$A$16:$I$59,9,0)</f>
        <v>Oportunidad de mejora</v>
      </c>
      <c r="G17" s="153">
        <f>+VLOOKUP(A17,'Estado SCI'!$A$16:$L$59,12,0)</f>
        <v>30.234559999999998</v>
      </c>
      <c r="H17" s="153">
        <f t="shared" si="0"/>
        <v>14</v>
      </c>
      <c r="I17" s="153" t="str">
        <f>+IF(VLOOKUP(A17,'Estado SCI'!$A$16:$G$59,7,0)="","",VLOOKUP(A17,'Estado SCI'!$A$16:$G$59,7,0))</f>
        <v>En proceso</v>
      </c>
      <c r="J17" s="154">
        <f t="shared" si="2"/>
        <v>0.5</v>
      </c>
      <c r="K17" s="155">
        <f t="shared" si="1"/>
        <v>0.9</v>
      </c>
    </row>
    <row r="18" spans="1:11" ht="15" customHeight="1" x14ac:dyDescent="0.25">
      <c r="A18" s="153" t="s">
        <v>188</v>
      </c>
      <c r="B18" s="153" t="s">
        <v>69</v>
      </c>
      <c r="C18" s="153" t="s">
        <v>89</v>
      </c>
      <c r="D18" s="153" t="s">
        <v>34</v>
      </c>
      <c r="E18" s="153" t="s">
        <v>77</v>
      </c>
      <c r="F18" s="153" t="str">
        <f>+VLOOKUP(A18,'Estado SCI'!$A$16:$I$59,9,0)</f>
        <v>Mantenimiento del control</v>
      </c>
      <c r="G18" s="153">
        <f>+VLOOKUP(A18,'Estado SCI'!$A$16:$L$59,12,0)</f>
        <v>40.234566999999998</v>
      </c>
      <c r="H18" s="153">
        <f t="shared" si="0"/>
        <v>17</v>
      </c>
      <c r="I18" s="153" t="str">
        <f>+IF(VLOOKUP(A18,'Estado SCI'!$A$16:$G$59,7,0)="","",VLOOKUP(A18,'Estado SCI'!$A$16:$G$59,7,0))</f>
        <v>Si</v>
      </c>
      <c r="J18" s="154">
        <f t="shared" si="2"/>
        <v>1</v>
      </c>
      <c r="K18" s="155">
        <f t="shared" si="1"/>
        <v>0.9</v>
      </c>
    </row>
    <row r="19" spans="1:11" ht="15" customHeight="1" x14ac:dyDescent="0.25">
      <c r="A19" s="153" t="s">
        <v>189</v>
      </c>
      <c r="B19" s="153" t="s">
        <v>69</v>
      </c>
      <c r="C19" s="153" t="s">
        <v>89</v>
      </c>
      <c r="D19" s="153" t="s">
        <v>38</v>
      </c>
      <c r="E19" s="153" t="s">
        <v>79</v>
      </c>
      <c r="F19" s="153" t="str">
        <f>+VLOOKUP(A19,'Estado SCI'!$A$16:$I$59,9,0)</f>
        <v>Mantenimiento del control</v>
      </c>
      <c r="G19" s="153">
        <f>+VLOOKUP(A19,'Estado SCI'!$A$16:$L$59,12,0)</f>
        <v>40.234567800000001</v>
      </c>
      <c r="H19" s="153">
        <f t="shared" si="0"/>
        <v>18</v>
      </c>
      <c r="I19" s="153" t="str">
        <f>+IF(VLOOKUP(A19,'Estado SCI'!$A$16:$G$59,7,0)="","",VLOOKUP(A19,'Estado SCI'!$A$16:$G$59,7,0))</f>
        <v>Si</v>
      </c>
      <c r="J19" s="154">
        <f t="shared" si="2"/>
        <v>1</v>
      </c>
      <c r="K19" s="155">
        <f t="shared" si="1"/>
        <v>0.9</v>
      </c>
    </row>
    <row r="20" spans="1:11" ht="15" customHeight="1" x14ac:dyDescent="0.25">
      <c r="A20" s="153" t="s">
        <v>190</v>
      </c>
      <c r="B20" s="153" t="s">
        <v>69</v>
      </c>
      <c r="C20" s="153" t="s">
        <v>89</v>
      </c>
      <c r="D20" s="153" t="s">
        <v>42</v>
      </c>
      <c r="E20" s="153" t="s">
        <v>80</v>
      </c>
      <c r="F20" s="153" t="str">
        <f>+VLOOKUP(A20,'Estado SCI'!$A$16:$I$59,9,0)</f>
        <v>Mantenimiento del control</v>
      </c>
      <c r="G20" s="153">
        <f>+VLOOKUP(A20,'Estado SCI'!$A$16:$L$59,12,0)</f>
        <v>40.234567890000001</v>
      </c>
      <c r="H20" s="153">
        <f t="shared" si="0"/>
        <v>19</v>
      </c>
      <c r="I20" s="153" t="str">
        <f>+IF(VLOOKUP(A20,'Estado SCI'!$A$16:$G$59,7,0)="","",VLOOKUP(A20,'Estado SCI'!$A$16:$G$59,7,0))</f>
        <v>Si</v>
      </c>
      <c r="J20" s="154">
        <f t="shared" si="2"/>
        <v>1</v>
      </c>
      <c r="K20" s="155">
        <f t="shared" si="1"/>
        <v>0.9</v>
      </c>
    </row>
    <row r="21" spans="1:11" ht="15.75" customHeight="1" x14ac:dyDescent="0.25">
      <c r="A21" s="153" t="s">
        <v>191</v>
      </c>
      <c r="B21" s="153" t="s">
        <v>69</v>
      </c>
      <c r="C21" s="153" t="s">
        <v>89</v>
      </c>
      <c r="D21" s="153" t="s">
        <v>34</v>
      </c>
      <c r="E21" s="153" t="s">
        <v>83</v>
      </c>
      <c r="F21" s="153" t="str">
        <f>+VLOOKUP(A21,'Estado SCI'!$A$16:$I$59,9,0)</f>
        <v>Mantenimiento del control</v>
      </c>
      <c r="G21" s="153">
        <f>+VLOOKUP(A21,'Estado SCI'!$A$16:$L$59,12,0)</f>
        <v>40.234567891200001</v>
      </c>
      <c r="H21" s="153">
        <f t="shared" si="0"/>
        <v>20</v>
      </c>
      <c r="I21" s="153" t="str">
        <f>+IF(VLOOKUP(A21,'Estado SCI'!$A$16:$G$59,7,0)="","",VLOOKUP(A21,'Estado SCI'!$A$16:$G$59,7,0))</f>
        <v>Si</v>
      </c>
      <c r="J21" s="154">
        <f t="shared" si="2"/>
        <v>1</v>
      </c>
      <c r="K21" s="155">
        <f t="shared" si="1"/>
        <v>0.9</v>
      </c>
    </row>
    <row r="22" spans="1:11" ht="15" customHeight="1" x14ac:dyDescent="0.25">
      <c r="A22" s="153" t="s">
        <v>192</v>
      </c>
      <c r="B22" s="153" t="s">
        <v>69</v>
      </c>
      <c r="C22" s="153" t="s">
        <v>98</v>
      </c>
      <c r="D22" s="153" t="s">
        <v>38</v>
      </c>
      <c r="E22" s="153" t="s">
        <v>84</v>
      </c>
      <c r="F22" s="153" t="str">
        <f>+VLOOKUP(A22,'Estado SCI'!$A$16:$I$59,9,0)</f>
        <v>Mantenimiento del control</v>
      </c>
      <c r="G22" s="153">
        <f>+VLOOKUP(A22,'Estado SCI'!$A$16:$L$59,12,0)</f>
        <v>40.23456789123</v>
      </c>
      <c r="H22" s="153">
        <f t="shared" si="0"/>
        <v>21</v>
      </c>
      <c r="I22" s="153" t="str">
        <f>+IF(VLOOKUP(A22,'Estado SCI'!$A$16:$G$59,7,0)="","",VLOOKUP(A22,'Estado SCI'!$A$16:$G$59,7,0))</f>
        <v>Si</v>
      </c>
      <c r="J22" s="154">
        <f t="shared" si="2"/>
        <v>1</v>
      </c>
      <c r="K22" s="155">
        <f t="shared" si="1"/>
        <v>0.9</v>
      </c>
    </row>
    <row r="23" spans="1:11" ht="15" customHeight="1" x14ac:dyDescent="0.25">
      <c r="A23" s="153" t="s">
        <v>193</v>
      </c>
      <c r="B23" s="153" t="s">
        <v>69</v>
      </c>
      <c r="C23" s="153" t="s">
        <v>98</v>
      </c>
      <c r="D23" s="153" t="s">
        <v>42</v>
      </c>
      <c r="E23" s="153" t="s">
        <v>86</v>
      </c>
      <c r="F23" s="153" t="str">
        <f>+VLOOKUP(A23,'Estado SCI'!$A$16:$I$59,9,0)</f>
        <v>Mantenimiento del control</v>
      </c>
      <c r="G23" s="153">
        <f>+VLOOKUP(A23,'Estado SCI'!$A$16:$L$59,12,0)</f>
        <v>40.234567891234001</v>
      </c>
      <c r="H23" s="153">
        <f t="shared" si="0"/>
        <v>22</v>
      </c>
      <c r="I23" s="153" t="str">
        <f>+IF(VLOOKUP(A23,'Estado SCI'!$A$16:$G$59,7,0)="","",VLOOKUP(A23,'Estado SCI'!$A$16:$G$59,7,0))</f>
        <v>Si</v>
      </c>
      <c r="J23" s="154">
        <f t="shared" si="2"/>
        <v>1</v>
      </c>
      <c r="K23" s="155">
        <f t="shared" si="1"/>
        <v>0.9</v>
      </c>
    </row>
    <row r="24" spans="1:11" ht="15" customHeight="1" x14ac:dyDescent="0.25">
      <c r="A24" s="153" t="s">
        <v>194</v>
      </c>
      <c r="B24" s="153" t="str">
        <f>+VLOOKUP(A24,'Estado SCI'!$A$16:$C$59,3,0)</f>
        <v>ACTIVIDADES DE CONTROL</v>
      </c>
      <c r="C24" s="153" t="s">
        <v>98</v>
      </c>
      <c r="D24" s="153" t="s">
        <v>34</v>
      </c>
      <c r="E24" s="153" t="s">
        <v>90</v>
      </c>
      <c r="F24" s="153" t="str">
        <f>+VLOOKUP(A24,'Estado SCI'!$A$16:$I$59,9,0)</f>
        <v>Mantenimiento del control</v>
      </c>
      <c r="G24" s="153">
        <f>+VLOOKUP(A24,'Estado SCI'!$A$16:$L$59,12,0)</f>
        <v>60.31</v>
      </c>
      <c r="H24" s="153">
        <f t="shared" si="0"/>
        <v>25</v>
      </c>
      <c r="I24" s="153" t="str">
        <f>+IF(VLOOKUP(A24,'Estado SCI'!$A$16:$G$59,7,0)="","",VLOOKUP(A24,'Estado SCI'!$A$16:$G$59,7,0))</f>
        <v>Si</v>
      </c>
      <c r="J24" s="154">
        <f t="shared" si="2"/>
        <v>1</v>
      </c>
      <c r="K24" s="155">
        <f t="shared" si="1"/>
        <v>0.8</v>
      </c>
    </row>
    <row r="25" spans="1:11" ht="15" customHeight="1" x14ac:dyDescent="0.25">
      <c r="A25" s="153" t="s">
        <v>195</v>
      </c>
      <c r="B25" s="153" t="s">
        <v>88</v>
      </c>
      <c r="C25" s="153" t="s">
        <v>98</v>
      </c>
      <c r="D25" s="153" t="s">
        <v>38</v>
      </c>
      <c r="E25" s="153" t="s">
        <v>91</v>
      </c>
      <c r="F25" s="153" t="str">
        <f>+VLOOKUP(A25,'Estado SCI'!$A$16:$I$59,9,0)</f>
        <v>Oportunidad de mejora</v>
      </c>
      <c r="G25" s="153">
        <f>+VLOOKUP(A25,'Estado SCI'!$A$16:$L$59,12,0)</f>
        <v>50.323</v>
      </c>
      <c r="H25" s="153">
        <f t="shared" si="0"/>
        <v>23</v>
      </c>
      <c r="I25" s="153" t="str">
        <f>+IF(VLOOKUP(A25,'Estado SCI'!$A$16:$G$59,7,0)="","",VLOOKUP(A25,'Estado SCI'!$A$16:$G$59,7,0))</f>
        <v>En proceso</v>
      </c>
      <c r="J25" s="154">
        <f t="shared" si="2"/>
        <v>0.5</v>
      </c>
      <c r="K25" s="155">
        <f t="shared" si="1"/>
        <v>0.8</v>
      </c>
    </row>
    <row r="26" spans="1:11" ht="15" customHeight="1" x14ac:dyDescent="0.25">
      <c r="A26" s="153" t="s">
        <v>196</v>
      </c>
      <c r="B26" s="153" t="s">
        <v>88</v>
      </c>
      <c r="C26" s="153" t="s">
        <v>98</v>
      </c>
      <c r="D26" s="153" t="s">
        <v>42</v>
      </c>
      <c r="E26" s="153" t="s">
        <v>92</v>
      </c>
      <c r="F26" s="153" t="str">
        <f>+VLOOKUP(A26,'Estado SCI'!$A$16:$I$59,9,0)</f>
        <v>Oportunidad de mejora</v>
      </c>
      <c r="G26" s="153">
        <f>+VLOOKUP(A26,'Estado SCI'!$A$16:$L$59,12,0)</f>
        <v>50.323999999999998</v>
      </c>
      <c r="H26" s="153">
        <f t="shared" si="0"/>
        <v>24</v>
      </c>
      <c r="I26" s="153" t="str">
        <f>+IF(VLOOKUP(A26,'Estado SCI'!$A$16:$G$59,7,0)="","",VLOOKUP(A26,'Estado SCI'!$A$16:$G$59,7,0))</f>
        <v>En proceso</v>
      </c>
      <c r="J26" s="154">
        <f t="shared" si="2"/>
        <v>0.5</v>
      </c>
      <c r="K26" s="155">
        <f t="shared" si="1"/>
        <v>0.8</v>
      </c>
    </row>
    <row r="27" spans="1:11" ht="15.75" customHeight="1" x14ac:dyDescent="0.25">
      <c r="A27" s="153" t="s">
        <v>197</v>
      </c>
      <c r="B27" s="153" t="s">
        <v>88</v>
      </c>
      <c r="C27" s="153" t="s">
        <v>98</v>
      </c>
      <c r="D27" s="153" t="s">
        <v>44</v>
      </c>
      <c r="E27" s="153" t="s">
        <v>93</v>
      </c>
      <c r="F27" s="153" t="str">
        <f>+VLOOKUP(A27,'Estado SCI'!$A$16:$I$59,9,0)</f>
        <v>Mantenimiento del control</v>
      </c>
      <c r="G27" s="153">
        <f>+VLOOKUP(A27,'Estado SCI'!$A$16:$L$59,12,0)</f>
        <v>60.325000000000003</v>
      </c>
      <c r="H27" s="153">
        <f t="shared" si="0"/>
        <v>26</v>
      </c>
      <c r="I27" s="153" t="str">
        <f>+IF(VLOOKUP(A27,'Estado SCI'!$A$16:$G$59,7,0)="","",VLOOKUP(A27,'Estado SCI'!$A$16:$G$59,7,0))</f>
        <v>Si</v>
      </c>
      <c r="J27" s="154">
        <f t="shared" si="2"/>
        <v>1</v>
      </c>
      <c r="K27" s="155">
        <f t="shared" si="1"/>
        <v>0.8</v>
      </c>
    </row>
    <row r="28" spans="1:11" ht="15" customHeight="1" x14ac:dyDescent="0.25">
      <c r="A28" s="153" t="s">
        <v>198</v>
      </c>
      <c r="B28" s="153" t="s">
        <v>88</v>
      </c>
      <c r="C28" s="153" t="s">
        <v>115</v>
      </c>
      <c r="D28" s="153" t="s">
        <v>47</v>
      </c>
      <c r="E28" s="153" t="s">
        <v>95</v>
      </c>
      <c r="F28" s="153" t="str">
        <f>+VLOOKUP(A28,'Estado SCI'!$A$16:$I$59,9,0)</f>
        <v>Mantenimiento del control</v>
      </c>
      <c r="G28" s="153">
        <f>+VLOOKUP(A28,'Estado SCI'!$A$16:$L$59,12,0)</f>
        <v>60.326000000000001</v>
      </c>
      <c r="H28" s="153">
        <f t="shared" si="0"/>
        <v>27</v>
      </c>
      <c r="I28" s="153" t="str">
        <f>+IF(VLOOKUP(A28,'Estado SCI'!$A$16:$G$59,7,0)="","",VLOOKUP(A28,'Estado SCI'!$A$16:$G$59,7,0))</f>
        <v>Si</v>
      </c>
      <c r="J28" s="154">
        <f t="shared" si="2"/>
        <v>1</v>
      </c>
      <c r="K28" s="155">
        <f t="shared" si="1"/>
        <v>0.8</v>
      </c>
    </row>
    <row r="29" spans="1:11" ht="15" customHeight="1" x14ac:dyDescent="0.25">
      <c r="A29" s="153" t="s">
        <v>199</v>
      </c>
      <c r="B29" s="153" t="str">
        <f>+VLOOKUP(A29,'Estado SCI'!$A$16:$C$59,3,0)</f>
        <v>INFORMACION Y COMUNICACIÓN</v>
      </c>
      <c r="C29" s="153" t="s">
        <v>115</v>
      </c>
      <c r="D29" s="153" t="s">
        <v>34</v>
      </c>
      <c r="E29" s="153" t="s">
        <v>99</v>
      </c>
      <c r="F29" s="153" t="str">
        <f>+VLOOKUP(A29,'Estado SCI'!$A$16:$I$59,9,0)</f>
        <v>Mantenimiento del control</v>
      </c>
      <c r="G29" s="153">
        <f>+VLOOKUP(A29,'Estado SCI'!$A$16:$L$59,12,0)</f>
        <v>80.412000000000006</v>
      </c>
      <c r="H29" s="153">
        <f t="shared" si="0"/>
        <v>31</v>
      </c>
      <c r="I29" s="153" t="str">
        <f>+IF(VLOOKUP(A29,'Estado SCI'!$A$16:$G$59,7,0)="","",VLOOKUP(A29,'Estado SCI'!$A$16:$G$59,7,0))</f>
        <v>Si</v>
      </c>
      <c r="J29" s="154">
        <f t="shared" si="2"/>
        <v>1</v>
      </c>
      <c r="K29" s="155">
        <f t="shared" si="1"/>
        <v>0.7142857142857143</v>
      </c>
    </row>
    <row r="30" spans="1:11" ht="15" customHeight="1" x14ac:dyDescent="0.25">
      <c r="A30" s="153" t="s">
        <v>200</v>
      </c>
      <c r="B30" s="153" t="s">
        <v>97</v>
      </c>
      <c r="C30" s="153" t="s">
        <v>115</v>
      </c>
      <c r="D30" s="153" t="s">
        <v>38</v>
      </c>
      <c r="E30" s="153" t="s">
        <v>101</v>
      </c>
      <c r="F30" s="153" t="str">
        <f>+VLOOKUP(A30,'Estado SCI'!$A$16:$I$59,9,0)</f>
        <v>Mantenimiento del control</v>
      </c>
      <c r="G30" s="153">
        <f>+VLOOKUP(A30,'Estado SCI'!$A$16:$L$59,12,0)</f>
        <v>80.412300000000002</v>
      </c>
      <c r="H30" s="153">
        <f t="shared" si="0"/>
        <v>32</v>
      </c>
      <c r="I30" s="153" t="str">
        <f>+IF(VLOOKUP(A30,'Estado SCI'!$A$16:$G$59,7,0)="","",VLOOKUP(A30,'Estado SCI'!$A$16:$G$59,7,0))</f>
        <v>Si</v>
      </c>
      <c r="J30" s="154">
        <f t="shared" si="2"/>
        <v>1</v>
      </c>
      <c r="K30" s="155">
        <f t="shared" si="1"/>
        <v>0.7142857142857143</v>
      </c>
    </row>
    <row r="31" spans="1:11" ht="15.75" customHeight="1" x14ac:dyDescent="0.25">
      <c r="A31" s="153" t="s">
        <v>201</v>
      </c>
      <c r="B31" s="153" t="s">
        <v>97</v>
      </c>
      <c r="C31" s="153" t="s">
        <v>115</v>
      </c>
      <c r="D31" s="153" t="s">
        <v>42</v>
      </c>
      <c r="E31" s="153" t="s">
        <v>103</v>
      </c>
      <c r="F31" s="153" t="str">
        <f>+VLOOKUP(A31,'Estado SCI'!$A$16:$I$59,9,0)</f>
        <v>Mantenimiento del control</v>
      </c>
      <c r="G31" s="153">
        <f>+VLOOKUP(A31,'Estado SCI'!$A$16:$L$59,12,0)</f>
        <v>80.41234</v>
      </c>
      <c r="H31" s="153">
        <f t="shared" si="0"/>
        <v>33</v>
      </c>
      <c r="I31" s="153" t="str">
        <f>+IF(VLOOKUP(A31,'Estado SCI'!$A$16:$G$59,7,0)="","",VLOOKUP(A31,'Estado SCI'!$A$16:$G$59,7,0))</f>
        <v>Si</v>
      </c>
      <c r="J31" s="154">
        <f t="shared" si="2"/>
        <v>1</v>
      </c>
      <c r="K31" s="155">
        <f t="shared" si="1"/>
        <v>0.7142857142857143</v>
      </c>
    </row>
    <row r="32" spans="1:11" x14ac:dyDescent="0.25">
      <c r="A32" s="153" t="s">
        <v>202</v>
      </c>
      <c r="B32" s="153" t="s">
        <v>97</v>
      </c>
      <c r="C32" s="153" t="s">
        <v>124</v>
      </c>
      <c r="D32" s="153" t="s">
        <v>44</v>
      </c>
      <c r="E32" s="153" t="s">
        <v>105</v>
      </c>
      <c r="F32" s="153" t="str">
        <f>+VLOOKUP(A32,'Estado SCI'!$A$16:$I$59,9,0)</f>
        <v>Deficiencia de control</v>
      </c>
      <c r="G32" s="153">
        <f>+VLOOKUP(A32,'Estado SCI'!$A$16:$L$59,12,0)</f>
        <v>60.412345000000002</v>
      </c>
      <c r="H32" s="153">
        <f t="shared" si="0"/>
        <v>28</v>
      </c>
      <c r="I32" s="153" t="str">
        <f>+IF(VLOOKUP(A32,'Estado SCI'!$A$16:$G$59,7,0)="","",VLOOKUP(A32,'Estado SCI'!$A$16:$G$59,7,0))</f>
        <v>No</v>
      </c>
      <c r="J32" s="154">
        <f t="shared" si="2"/>
        <v>0</v>
      </c>
      <c r="K32" s="155">
        <f t="shared" si="1"/>
        <v>0.7142857142857143</v>
      </c>
    </row>
    <row r="33" spans="1:11" x14ac:dyDescent="0.25">
      <c r="A33" s="153" t="s">
        <v>203</v>
      </c>
      <c r="B33" s="153" t="s">
        <v>97</v>
      </c>
      <c r="C33" s="153" t="s">
        <v>204</v>
      </c>
      <c r="D33" s="153" t="s">
        <v>47</v>
      </c>
      <c r="E33" s="153" t="s">
        <v>107</v>
      </c>
      <c r="F33" s="153" t="str">
        <f>+VLOOKUP(A33,'Estado SCI'!$A$16:$I$59,9,0)</f>
        <v>Oportunidad de mejora</v>
      </c>
      <c r="G33" s="153">
        <f>+VLOOKUP(A33,'Estado SCI'!$A$16:$L$59,12,0)</f>
        <v>70.412345599999995</v>
      </c>
      <c r="H33" s="153">
        <f t="shared" si="0"/>
        <v>29</v>
      </c>
      <c r="I33" s="153" t="str">
        <f>+IF(VLOOKUP(A33,'Estado SCI'!$A$16:$G$59,7,0)="","",VLOOKUP(A33,'Estado SCI'!$A$16:$G$59,7,0))</f>
        <v>En proceso</v>
      </c>
      <c r="J33" s="154">
        <f t="shared" si="2"/>
        <v>0.5</v>
      </c>
      <c r="K33" s="155">
        <f t="shared" si="1"/>
        <v>0.7142857142857143</v>
      </c>
    </row>
    <row r="34" spans="1:11" x14ac:dyDescent="0.25">
      <c r="A34" s="153" t="s">
        <v>205</v>
      </c>
      <c r="B34" s="153" t="s">
        <v>97</v>
      </c>
      <c r="C34" s="153" t="s">
        <v>204</v>
      </c>
      <c r="D34" s="153" t="s">
        <v>50</v>
      </c>
      <c r="E34" s="153" t="s">
        <v>109</v>
      </c>
      <c r="F34" s="153" t="str">
        <f>+VLOOKUP(A34,'Estado SCI'!$A$16:$I$59,9,0)</f>
        <v>Oportunidad de mejora</v>
      </c>
      <c r="G34" s="153">
        <f>+VLOOKUP(A34,'Estado SCI'!$A$16:$L$59,12,0)</f>
        <v>70.412345669999993</v>
      </c>
      <c r="H34" s="153">
        <f t="shared" si="0"/>
        <v>30</v>
      </c>
      <c r="I34" s="153" t="str">
        <f>+IF(VLOOKUP(A34,'Estado SCI'!$A$16:$G$59,7,0)="","",VLOOKUP(A34,'Estado SCI'!$A$16:$G$59,7,0))</f>
        <v>En proceso</v>
      </c>
      <c r="J34" s="154">
        <f t="shared" si="2"/>
        <v>0.5</v>
      </c>
      <c r="K34" s="155">
        <f t="shared" si="1"/>
        <v>0.7142857142857143</v>
      </c>
    </row>
    <row r="35" spans="1:11" x14ac:dyDescent="0.25">
      <c r="A35" s="153" t="s">
        <v>206</v>
      </c>
      <c r="B35" s="153" t="s">
        <v>97</v>
      </c>
      <c r="C35" s="153" t="s">
        <v>204</v>
      </c>
      <c r="D35" s="153" t="s">
        <v>53</v>
      </c>
      <c r="E35" s="153" t="s">
        <v>111</v>
      </c>
      <c r="F35" s="153" t="str">
        <f>+VLOOKUP(A35,'Estado SCI'!$A$16:$I$59,9,0)</f>
        <v>Mantenimiento del control</v>
      </c>
      <c r="G35" s="153">
        <f>+VLOOKUP(A35,'Estado SCI'!$A$16:$L$59,12,0)</f>
        <v>80.412345677999994</v>
      </c>
      <c r="H35" s="153">
        <f t="shared" si="0"/>
        <v>34</v>
      </c>
      <c r="I35" s="153" t="str">
        <f>+IF(VLOOKUP(A35,'Estado SCI'!$A$16:$G$59,7,0)="","",VLOOKUP(A35,'Estado SCI'!$A$16:$G$59,7,0))</f>
        <v>Si</v>
      </c>
      <c r="J35" s="154">
        <f t="shared" si="2"/>
        <v>1</v>
      </c>
      <c r="K35" s="155">
        <f t="shared" si="1"/>
        <v>0.7142857142857143</v>
      </c>
    </row>
    <row r="36" spans="1:11" x14ac:dyDescent="0.25">
      <c r="A36" s="153" t="s">
        <v>207</v>
      </c>
      <c r="B36" s="153" t="str">
        <f>+VLOOKUP(A36,'Estado SCI'!$A$16:$C$59,3,0)</f>
        <v>ACTIVIDADES DE MONITOREO</v>
      </c>
      <c r="C36" s="153" t="s">
        <v>204</v>
      </c>
      <c r="D36" s="153" t="s">
        <v>34</v>
      </c>
      <c r="E36" s="153" t="s">
        <v>116</v>
      </c>
      <c r="F36" s="153" t="str">
        <f>+VLOOKUP(A36,'Estado SCI'!$A$16:$I$59,9,0)</f>
        <v>Oportunidad de mejora</v>
      </c>
      <c r="G36" s="153">
        <f>+VLOOKUP(A36,'Estado SCI'!$A$16:$L$59,12,0)</f>
        <v>100.851</v>
      </c>
      <c r="H36" s="153">
        <f t="shared" si="0"/>
        <v>35</v>
      </c>
      <c r="I36" s="153" t="str">
        <f>+IF(VLOOKUP(A36,'Estado SCI'!$A$16:$G$59,7,0)="","",VLOOKUP(A36,'Estado SCI'!$A$16:$G$59,7,0))</f>
        <v>En proceso</v>
      </c>
      <c r="J36" s="154">
        <f t="shared" si="2"/>
        <v>0.5</v>
      </c>
      <c r="K36" s="155">
        <f t="shared" si="1"/>
        <v>0.75</v>
      </c>
    </row>
    <row r="37" spans="1:11" x14ac:dyDescent="0.25">
      <c r="A37" s="153" t="s">
        <v>208</v>
      </c>
      <c r="B37" s="153" t="s">
        <v>114</v>
      </c>
      <c r="C37" s="153" t="s">
        <v>204</v>
      </c>
      <c r="D37" s="153" t="s">
        <v>44</v>
      </c>
      <c r="E37" s="153" t="s">
        <v>118</v>
      </c>
      <c r="F37" s="153" t="str">
        <f>+VLOOKUP(A37,'Estado SCI'!$A$16:$I$59,9,0)</f>
        <v>Mantenimiento del control</v>
      </c>
      <c r="G37" s="153">
        <f>+VLOOKUP(A37,'Estado SCI'!$A$16:$L$59,12,0)</f>
        <v>120.85120000000001</v>
      </c>
      <c r="H37" s="153">
        <f t="shared" si="0"/>
        <v>40</v>
      </c>
      <c r="I37" s="153" t="str">
        <f>+IF(VLOOKUP(A37,'Estado SCI'!$A$16:$G$59,7,0)="","",VLOOKUP(A37,'Estado SCI'!$A$16:$G$59,7,0))</f>
        <v>Si</v>
      </c>
      <c r="J37" s="154">
        <f t="shared" si="2"/>
        <v>1</v>
      </c>
      <c r="K37" s="155">
        <f t="shared" si="1"/>
        <v>0.75</v>
      </c>
    </row>
    <row r="38" spans="1:11" x14ac:dyDescent="0.25">
      <c r="A38" s="153" t="s">
        <v>209</v>
      </c>
      <c r="B38" s="153" t="s">
        <v>114</v>
      </c>
      <c r="C38" s="153" t="s">
        <v>76</v>
      </c>
      <c r="D38" s="153" t="s">
        <v>50</v>
      </c>
      <c r="E38" s="153" t="s">
        <v>119</v>
      </c>
      <c r="F38" s="153" t="str">
        <f>+VLOOKUP(A38,'Estado SCI'!$A$16:$I$59,9,0)</f>
        <v>Mantenimiento del control</v>
      </c>
      <c r="G38" s="153">
        <f>+VLOOKUP(A38,'Estado SCI'!$A$16:$L$59,12,0)</f>
        <v>120.85123</v>
      </c>
      <c r="H38" s="153">
        <f t="shared" si="0"/>
        <v>41</v>
      </c>
      <c r="I38" s="153" t="str">
        <f>+IF(VLOOKUP(A38,'Estado SCI'!$A$16:$G$59,7,0)="","",VLOOKUP(A38,'Estado SCI'!$A$16:$G$59,7,0))</f>
        <v>Si</v>
      </c>
      <c r="J38" s="154">
        <f t="shared" si="2"/>
        <v>1</v>
      </c>
      <c r="K38" s="155">
        <f t="shared" si="1"/>
        <v>0.75</v>
      </c>
    </row>
    <row r="39" spans="1:11" x14ac:dyDescent="0.25">
      <c r="A39" s="153" t="s">
        <v>210</v>
      </c>
      <c r="B39" s="153" t="s">
        <v>114</v>
      </c>
      <c r="C39" s="153" t="s">
        <v>76</v>
      </c>
      <c r="D39" s="153" t="s">
        <v>53</v>
      </c>
      <c r="E39" s="153" t="s">
        <v>121</v>
      </c>
      <c r="F39" s="153" t="str">
        <f>+VLOOKUP(A39,'Estado SCI'!$A$16:$I$59,9,0)</f>
        <v>Mantenimiento del control</v>
      </c>
      <c r="G39" s="153">
        <f>+VLOOKUP(A39,'Estado SCI'!$A$16:$L$59,12,0)</f>
        <v>120.85123400000001</v>
      </c>
      <c r="H39" s="153">
        <f t="shared" si="0"/>
        <v>42</v>
      </c>
      <c r="I39" s="153" t="str">
        <f>+IF(VLOOKUP(A39,'Estado SCI'!$A$16:$G$59,7,0)="","",VLOOKUP(A39,'Estado SCI'!$A$16:$G$59,7,0))</f>
        <v>Si</v>
      </c>
      <c r="J39" s="154">
        <f t="shared" si="2"/>
        <v>1</v>
      </c>
      <c r="K39" s="155">
        <f t="shared" si="1"/>
        <v>0.75</v>
      </c>
    </row>
    <row r="40" spans="1:11" x14ac:dyDescent="0.25">
      <c r="A40" s="153" t="s">
        <v>211</v>
      </c>
      <c r="B40" s="153" t="s">
        <v>114</v>
      </c>
      <c r="C40" s="153" t="s">
        <v>76</v>
      </c>
      <c r="D40" s="153" t="s">
        <v>55</v>
      </c>
      <c r="E40" s="153" t="s">
        <v>125</v>
      </c>
      <c r="F40" s="153" t="str">
        <f>+VLOOKUP(A40,'Estado SCI'!$A$16:$I$59,9,0)</f>
        <v>Mantenimiento del control</v>
      </c>
      <c r="G40" s="153">
        <f>+VLOOKUP(A40,'Estado SCI'!$A$16:$L$59,12,0)</f>
        <v>120.8512345</v>
      </c>
      <c r="H40" s="153">
        <f t="shared" si="0"/>
        <v>43</v>
      </c>
      <c r="I40" s="153" t="str">
        <f>+IF(VLOOKUP(A40,'Estado SCI'!$A$16:$G$59,7,0)="","",VLOOKUP(A40,'Estado SCI'!$A$16:$G$59,7,0))</f>
        <v>Si</v>
      </c>
      <c r="J40" s="154">
        <f t="shared" si="2"/>
        <v>1</v>
      </c>
      <c r="K40" s="155">
        <f t="shared" si="1"/>
        <v>0.75</v>
      </c>
    </row>
    <row r="41" spans="1:11" x14ac:dyDescent="0.25">
      <c r="A41" s="153" t="s">
        <v>212</v>
      </c>
      <c r="B41" s="153" t="s">
        <v>114</v>
      </c>
      <c r="C41" s="153" t="s">
        <v>76</v>
      </c>
      <c r="D41" s="153" t="s">
        <v>34</v>
      </c>
      <c r="E41" s="153" t="s">
        <v>129</v>
      </c>
      <c r="F41" s="153" t="str">
        <f>+VLOOKUP(A41,'Estado SCI'!$A$16:$I$59,9,0)</f>
        <v>Oportunidad de mejora</v>
      </c>
      <c r="G41" s="153">
        <f>+VLOOKUP(A41,'Estado SCI'!$A$16:$L$59,12,0)</f>
        <v>100.85123455999999</v>
      </c>
      <c r="H41" s="153">
        <f t="shared" si="0"/>
        <v>36</v>
      </c>
      <c r="I41" s="153" t="str">
        <f>+IF(VLOOKUP(A41,'Estado SCI'!$A$16:$G$59,7,0)="","",VLOOKUP(A41,'Estado SCI'!$A$16:$G$59,7,0))</f>
        <v>En proceso</v>
      </c>
      <c r="J41" s="154">
        <f t="shared" si="2"/>
        <v>0.5</v>
      </c>
      <c r="K41" s="155">
        <f t="shared" si="1"/>
        <v>0.75</v>
      </c>
    </row>
    <row r="42" spans="1:11" x14ac:dyDescent="0.25">
      <c r="A42" s="153" t="s">
        <v>213</v>
      </c>
      <c r="B42" s="153" t="s">
        <v>114</v>
      </c>
      <c r="C42" s="153" t="s">
        <v>82</v>
      </c>
      <c r="D42" s="153" t="s">
        <v>38</v>
      </c>
      <c r="E42" s="153" t="s">
        <v>131</v>
      </c>
      <c r="F42" s="153" t="str">
        <f>+VLOOKUP(A42,'Estado SCI'!$A$16:$I$59,9,0)</f>
        <v>Oportunidad de mejora</v>
      </c>
      <c r="G42" s="153">
        <f>+VLOOKUP(A42,'Estado SCI'!$A$16:$L$59,12,0)</f>
        <v>100.85123456700001</v>
      </c>
      <c r="H42" s="153">
        <f t="shared" si="0"/>
        <v>37</v>
      </c>
      <c r="I42" s="153" t="str">
        <f>+IF(VLOOKUP(A42,'Estado SCI'!$A$16:$G$59,7,0)="","",VLOOKUP(A42,'Estado SCI'!$A$16:$G$59,7,0))</f>
        <v>En proceso</v>
      </c>
      <c r="J42" s="154">
        <f t="shared" si="2"/>
        <v>0.5</v>
      </c>
      <c r="K42" s="155">
        <f t="shared" si="1"/>
        <v>0.75</v>
      </c>
    </row>
    <row r="43" spans="1:11" x14ac:dyDescent="0.25">
      <c r="A43" s="153" t="s">
        <v>214</v>
      </c>
      <c r="B43" s="153" t="s">
        <v>114</v>
      </c>
      <c r="C43" s="153" t="s">
        <v>82</v>
      </c>
      <c r="D43" s="153" t="s">
        <v>42</v>
      </c>
      <c r="E43" s="153" t="s">
        <v>133</v>
      </c>
      <c r="F43" s="153" t="str">
        <f>+VLOOKUP(A43,'Estado SCI'!$A$16:$I$59,9,0)</f>
        <v>Oportunidad de mejora</v>
      </c>
      <c r="G43" s="153">
        <f>+VLOOKUP(A43,'Estado SCI'!$A$16:$L$59,12,0)</f>
        <v>100.85123456780001</v>
      </c>
      <c r="H43" s="153">
        <f t="shared" si="0"/>
        <v>38</v>
      </c>
      <c r="I43" s="153" t="str">
        <f>+IF(VLOOKUP(A43,'Estado SCI'!$A$16:$G$59,7,0)="","",VLOOKUP(A43,'Estado SCI'!$A$16:$G$59,7,0))</f>
        <v>En proceso</v>
      </c>
      <c r="J43" s="154">
        <f t="shared" si="2"/>
        <v>0.5</v>
      </c>
      <c r="K43" s="155">
        <f t="shared" si="1"/>
        <v>0.75</v>
      </c>
    </row>
    <row r="44" spans="1:11" x14ac:dyDescent="0.25">
      <c r="A44" s="153" t="s">
        <v>215</v>
      </c>
      <c r="B44" s="153" t="s">
        <v>114</v>
      </c>
      <c r="C44" s="153" t="s">
        <v>82</v>
      </c>
      <c r="D44" s="153" t="s">
        <v>44</v>
      </c>
      <c r="E44" s="153" t="s">
        <v>134</v>
      </c>
      <c r="F44" s="153" t="str">
        <f>+VLOOKUP(A44,'Estado SCI'!$A$16:$I$59,9,0)</f>
        <v>Oportunidad de mejora</v>
      </c>
      <c r="G44" s="153">
        <f>+VLOOKUP(A44,'Estado SCI'!$A$16:$L$59,12,0)</f>
        <v>100.85123456789</v>
      </c>
      <c r="H44" s="153">
        <f t="shared" si="0"/>
        <v>39</v>
      </c>
      <c r="I44" s="153" t="str">
        <f>+IF(VLOOKUP(A44,'Estado SCI'!$A$16:$G$59,7,0)="","",VLOOKUP(A44,'Estado SCI'!$A$16:$G$59,7,0))</f>
        <v>En proceso</v>
      </c>
      <c r="J44" s="154">
        <f t="shared" si="2"/>
        <v>0.5</v>
      </c>
      <c r="K44" s="155">
        <f t="shared" si="1"/>
        <v>0.75</v>
      </c>
    </row>
    <row r="45" spans="1:11" x14ac:dyDescent="0.2">
      <c r="A45" s="153" t="s">
        <v>216</v>
      </c>
      <c r="B45" s="153" t="s">
        <v>114</v>
      </c>
      <c r="C45" s="153" t="s">
        <v>82</v>
      </c>
      <c r="D45" s="153" t="s">
        <v>47</v>
      </c>
      <c r="E45" s="153" t="s">
        <v>135</v>
      </c>
      <c r="F45" s="153" t="str">
        <f>+VLOOKUP(A45,'Estado SCI'!$A$16:$I$59,9,0)</f>
        <v>Mantenimiento del control</v>
      </c>
      <c r="G45" s="153">
        <f>+VLOOKUP(A45,'Estado SCI'!$A$16:$L$59,12,0)</f>
        <v>120.851234567891</v>
      </c>
      <c r="H45" s="153">
        <f t="shared" si="0"/>
        <v>44</v>
      </c>
      <c r="I45" s="153" t="str">
        <f>+IF(VLOOKUP(A45,'Estado SCI'!$A$16:$G$59,7,0)="","",VLOOKUP(A45,'Estado SCI'!$A$16:$G$59,7,0))</f>
        <v>Si</v>
      </c>
      <c r="J45" s="154">
        <f t="shared" si="2"/>
        <v>1</v>
      </c>
      <c r="K45" s="155">
        <f t="shared" si="1"/>
        <v>0.75</v>
      </c>
    </row>
  </sheetData>
  <sheetProtection algorithmName="SHA-512" hashValue="eXgkKlTi9xJKAI7t6Aeb2RaFpkfyF43pI2BIhtxDc7hsl0SqLK8I4Wc7jbZwC5kw3uyIHOBIUXRnh5cC70LKYA==" saltValue="AxKzX6Ar80vT7acQV8rFpQ==" spinCount="100000" sheet="1" objects="1" scenarios="1" selectLockedCells="1"/>
  <autoFilter ref="A1:K4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Instructivo</vt:lpstr>
      <vt:lpstr>Estado SCI</vt:lpstr>
      <vt:lpstr>Análisis Resultados</vt:lpstr>
      <vt:lpstr>Conclusión</vt:lpstr>
      <vt:lpstr>Hoja1</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Sala Juntas Piso 6</dc:creator>
  <cp:lastModifiedBy>Amable_Cata</cp:lastModifiedBy>
  <cp:revision/>
  <dcterms:created xsi:type="dcterms:W3CDTF">2020-04-28T13:58:09Z</dcterms:created>
  <dcterms:modified xsi:type="dcterms:W3CDTF">2022-07-08T19:23:53Z</dcterms:modified>
</cp:coreProperties>
</file>