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defaultThemeVersion="124226"/>
  <mc:AlternateContent xmlns:mc="http://schemas.openxmlformats.org/markup-compatibility/2006">
    <mc:Choice Requires="x15">
      <x15ac:absPath xmlns:x15ac="http://schemas.microsoft.com/office/spreadsheetml/2010/11/ac" url="/Users/cmejia/Desktop/"/>
    </mc:Choice>
  </mc:AlternateContent>
  <xr:revisionPtr revIDLastSave="0" documentId="8_{DF1EBADC-953F-684C-911F-121F9D33D376}" xr6:coauthVersionLast="47" xr6:coauthVersionMax="47" xr10:uidLastSave="{00000000-0000-0000-0000-000000000000}"/>
  <bookViews>
    <workbookView xWindow="0" yWindow="500" windowWidth="28800" windowHeight="16100"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<sst xmlns="http://schemas.openxmlformats.org/spreadsheetml/2006/main" count="514" uniqueCount="244">
  <si>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</si>
  <si>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</si>
  <si>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</si>
  <si>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</si>
  <si>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</si>
  <si>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</si>
  <si>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</si>
  <si>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</si>
  <si>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</si>
  <si>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</si>
  <si>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</si>
  <si>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</si>
  <si>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</si>
  <si>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</si>
  <si>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</si>
  <si>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</si>
  <si>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</si>
  <si>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</si>
  <si>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</si>
  <si>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</si>
  <si>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</si>
  <si>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</si>
  <si>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</si>
  <si>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</si>
  <si>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</si>
  <si>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</si>
  <si>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</si>
  <si>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</si>
  <si>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</si>
  <si>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</si>
  <si>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</si>
  <si>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</si>
  <si>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</si>
  <si>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</si>
  <si>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</si>
  <si>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</si>
  <si>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</si>
  <si>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</si>
  <si>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</si>
  <si>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</si>
  <si>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La Entidad adoptó el Código de Integridad a través de la resolución número 013 de 2018, "Por medio de la cual se deroga la resolución número 011 de octubre 28 de 2010 y se adopta el código de integridad para la Empresa AMABLE E.I.C.E. y se fijan otras disposiciones"</t>
  </si>
  <si>
    <t>c</t>
  </si>
  <si>
    <t>Planes, programas y proyectos de acuerdo con las normas que rigen y atendiendo con su propósito fundamental institucional (misión)</t>
  </si>
  <si>
    <t>d</t>
  </si>
  <si>
    <t>Una estructura organizacional formalizada (organigrama)</t>
  </si>
  <si>
    <t xml:space="preserve">La junta Directiva de la Entidad aprobó la estructura orgánica de Amable, organigrama que puede ser consultado a través de la siguiente dirección web http://www.armeniaamable.gov.co/amable/organigrama </t>
  </si>
  <si>
    <t>e</t>
  </si>
  <si>
    <t>Un manual de funciones que describa los empleos de la entidad</t>
  </si>
  <si>
    <t>Actualmente Amable cuenta únicamente con dos cargos, gerente y asesor de control interno, no obstante, los estatutos de esta Empresa contiene la información referente al manual de funciones de estos cargos.</t>
  </si>
  <si>
    <t>f</t>
  </si>
  <si>
    <t>La documentación de sus procesos y procedimientos o bien una lista de actividades principales que permitan conocer el estado de su gestión</t>
  </si>
  <si>
    <t>En proceso</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</si>
  <si>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</si>
  <si>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</si>
  <si>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</si>
  <si>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</si>
  <si>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</si>
  <si>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</si>
  <si>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</si>
  <si>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</si>
  <si>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</si>
  <si>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</si>
  <si>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</si>
  <si>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</si>
  <si>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No se evidenció en el período informado que la Entidad haya presentado de manera inoportuna, incompleta o con baja calidad los informes de gestión ante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</si>
  <si>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</si>
  <si>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</si>
  <si>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</si>
  <si>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</si>
  <si>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</si>
  <si>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</si>
  <si>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</si>
  <si>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</si>
  <si>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</si>
  <si>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</si>
  <si>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Amable realiza de manera periódica, a través de contratistas con obligaciones ligadas a planeación institucional y en compañía de la asesora de control interno, el seguimiento a las matrices de riesgo. Dichos documentos de seguimiento se evidencian a través de actas localizadas en el archivo de gestión.</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</si>
  <si>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</si>
  <si>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</si>
  <si>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</si>
  <si>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</si>
  <si>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</si>
  <si>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</si>
  <si>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Cada proceso cuenta con contratistas con obligaciones frente a la ejecución de las actividades y procesos internos de la Entidad, quienes de manera conjunta y con la dirección de la gerencia, diseñan acciones para el mejoramiento.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</si>
  <si>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</si>
  <si>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</si>
  <si>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</si>
  <si>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</si>
  <si>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</si>
  <si>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</si>
  <si>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</si>
  <si>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</si>
  <si>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Amable cuenta con matrices de riesgo por proceso interno, donde se identificaron posibles eventos de riesgo para la gestión y la corrupción, además,  cuenta con una matriz de riesgos relacionada de manera directa a la gestión del proyecto Sistema Estratégico de Transporte Público en la ciudad de Armenia. En estos documentos se establecen los riesgos y los controles correspondientes para su tratamiento.</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</si>
  <si>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</si>
  <si>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</si>
  <si>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</si>
  <si>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</si>
  <si>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</si>
  <si>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Se evidenció que la Entidad, debido a su estructura orgánica reducida, cuenta con un responsable que es el Gerente de la Entidad, quien a su vez se apoya a través de la ejecución de actividades a través de contratistas, con obligaciones previamente definidas.</t>
  </si>
  <si>
    <t>Canales de comunicación con los ciudadanos</t>
  </si>
  <si>
    <t>La Entidad ha dispuesto de canales de comunicación con los ciudadanos como lo son: la página web, a través de su chat virtual, las redes sociales de Amable, correo electrónico institucional, línea telefónica, usada con mayor frecuencia antes de la contingencia por la declarada pandemia, además, por cada proyecto se han establecido puntos físicos de información para la ciudadanía e interesados.</t>
  </si>
  <si>
    <t>Canales de comunicación o mecanismos de reporte de información a otros organismos gubernamentales o de control</t>
  </si>
  <si>
    <t>La Entidad cuenta con los canales oficiales para comunicarse con los organismos gubernamentales y entes externos de control, debido a la declarada pandemia en el país, se han fortalecido los canales virtuales para la comunicación con otras entidades.</t>
  </si>
  <si>
    <t xml:space="preserve">Lineamientos para dar tratamiento a la información de carácter reservado </t>
  </si>
  <si>
    <t>Identificación de información que produce en el marco de su gestión (Para los ciudadanos, organismos de control, organismos gubernamentales, entre otros)</t>
  </si>
  <si>
    <t xml:space="preserve">La Entidad, a pesar de producir de manera constante información en el marco de su gestión, no cuenta con un inventario o repositorio de estos productos. </t>
  </si>
  <si>
    <t>Identificación de información necesaria para la operación de la entidad (normograma, presupuesto, talento humano, infraestructura física y tecnológica)</t>
  </si>
  <si>
    <t>La Entidad conoce sobre la existencia y necesidad de información para la normal operación, sin embargo, no se evidenció que esté documentada en algún aparte, además, de la información documentada con la que se cuenta actualmente.</t>
  </si>
  <si>
    <t>Si su capacidad e infraestructura lo permite, tecnologías de la información y las comunicaciones que soporten estos procesos</t>
  </si>
  <si>
    <t>La Entidad ha establecido canales de comunicación interna desde su capacidad y recursos disponibles, como lo son: correos electrónicos institucionales y herramientas de Google, Ventanilla Única Virtual, incluyendo intranet y nube web.</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</si>
  <si>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</si>
  <si>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</si>
  <si>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</si>
  <si>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</si>
  <si>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</si>
  <si>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</si>
  <si>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La Entidad diseña y suscribe planes de mejoramiento a partir de las observaciones realizadas en auditorías externas, Contraloría General de la República y Municipal de Armenia, Auditoría contratada por el Ministerio de Hacienda y Crédito Público. De igual manera, para las auditorías internas.</t>
  </si>
  <si>
    <t>Seguimiento a los planes de mejoramiento suscritos con instancias de control internas o externas</t>
  </si>
  <si>
    <t>La asesora de control interno de la Entidad realiza seguimiento periódico a los planes de mejoramiento internos y externos suscritos, según la frecuencia establecida en cada caso. Para los correspondientes a Contraloría Municipal de Armenia, se publica de manera trimestral el seguimiento en la página web institucional: http://www.armeniaamable.gov.co/transparencia-ley-1712/plan-de-mejoramiento, los demás seguimientos se encuentran custodiados en el archivo de gestión del área de control interno de la Entidad.</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</si>
  <si>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</si>
  <si>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</si>
  <si>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</si>
  <si>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El municipio de Armenia conformó el Comité Municipal de Coordinación de Control Interno, en donde la asesora de control interno de Amable participa de manera periódica. Se evidencia esta actividad en las actas y listados de asistencia, presentes en el archivo de gestión del Departamento Administrativo de Control Interno de Armenia.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</si>
  <si>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</si>
  <si>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</si>
  <si>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</si>
  <si>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constante.</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</si>
  <si>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</si>
  <si>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</si>
  <si>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</si>
  <si>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</si>
  <si>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La Entidad sí ha gestionado la materialización de problemas institucionales, lo cual se ha evidenciado en la realización de auditorías internas e informes de seguimiento presentados a la gerencia de la Entidad.</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</si>
  <si>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</si>
  <si>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</si>
  <si>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</si>
  <si>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</si>
  <si>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</si>
  <si>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</si>
  <si>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</si>
  <si>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</si>
  <si>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</si>
  <si>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</si>
  <si>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</si>
  <si>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</si>
  <si>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SISTEMA ESTRATÉGICO DE TRANSPORTE PÚBLICO AMABLE E.I.C.E.</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</si>
  <si>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</si>
  <si>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</si>
  <si>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</si>
  <si>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</si>
  <si>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</si>
  <si>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</si>
  <si>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</si>
  <si>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</si>
  <si>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</si>
  <si>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</si>
  <si>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</si>
  <si>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</si>
  <si>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La entidad cuenta con procedimientos documentados, manuales y guías, además, de planes estratégicos e institucionales que propenden por el desarrollo de las estrategias y directrices establecidas por la Gerencia de Amable para el cumplimiento de sus metas y objetivos. Se recomienda el fortalecimiento de la aplicación de controles a los diferentes eventos de riesgo identificados, así como el diseño de acciones de mejora a partir de los resultados de actividades de evaluación y seguimiento.</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</si>
  <si>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</si>
  <si>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</si>
  <si>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</si>
  <si>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</si>
  <si>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</si>
  <si>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</si>
  <si>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</si>
  <si>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</si>
  <si>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</si>
  <si>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</si>
  <si>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</si>
  <si>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</si>
  <si>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</si>
  <si>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</si>
  <si>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</si>
  <si>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</si>
  <si>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</si>
  <si>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</si>
  <si>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</si>
  <si>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</si>
  <si>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</si>
  <si>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</si>
  <si>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</si>
  <si>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</si>
  <si>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</si>
  <si>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</si>
  <si>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</si>
  <si>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</si>
  <si>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</si>
  <si>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</si>
  <si>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</si>
  <si>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</si>
  <si>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</si>
  <si>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</si>
  <si>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</si>
  <si>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</si>
  <si>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</si>
  <si>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</si>
  <si>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</si>
  <si>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</si>
  <si>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</si>
  <si>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</si>
  <si>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</si>
  <si>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</si>
  <si>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</si>
  <si>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</si>
  <si>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</si>
  <si>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</si>
  <si>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</si>
  <si>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</si>
  <si>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</si>
  <si>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</si>
  <si>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</si>
  <si>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</si>
  <si>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Amable cuenta con políticas, manuales, formatos y procedimientos documentados correspondientes a los procesos internos identificados en su mapa de procesos, además, dicha información se encuentra almacenada en el espacio virtual dispuesto por la Entidad a través de la ventanilla única virtual para consulta de los interesados internos. Se resalta que dicha documentación debe ser objeto de actualización constante por parte de la Entidad.</t>
  </si>
  <si>
    <t>Actualmente Amable cuenta únicamente con dos cargos, gerente y asesor de control interno, el primero vinculado a través de libre nombramiento y remoción y el segundo libre nombramiento por período, ambos cargos se encuentran provistos.</t>
  </si>
  <si>
    <t>Debido a que la Entidad cuenta con dos funcionarios, vinculado el primero a través de Libre Nombramiento y Remoción y el segundo a través de Libre Nombramiento por Período, no se ha realizado evaluación de desempeño público ni se han aplicado acuerdos de gestión. Se deja claridad que la entidad, por las condiciones expuestas con anterioridad, no se encuentra obligada a realzar proceso de evaluación de desempeño laboral.</t>
  </si>
  <si>
    <t>Amable cuenta con matrices de riesgo por proceso interno, donde se identificaron eventos que podrían, eventualmente, afectar el cumplimiento de planes, además, también cuenta con una matriz de riesgos relacionada de manera directa a la gestión del proyecto Sistema Estratégico de Transporte Público en la ciudad de Armenia. Estas matrices se encuentran almacenadas para consulta en el espacio de la Ventanilla Única Virtual y el archivo de gestión de Amable, además, los procesos, en el período informado, realizaron seguimiento a su contenido.</t>
  </si>
  <si>
    <t>Se evidenció que la Entidad cuenta con formatos para el seguimiento periódico de los riesgos identificados por proceso, además, que dicha información se reporta y almacena en el espacio de la ventanilla única virtual dispuesto para esto. En este sentido, los procesos cuentan con acceso a la información sobre el desempeño de las actividades de riesgos de los procesos internos.</t>
  </si>
  <si>
    <t>Aunque la Entidad no ha documentado acciones de mejora por autogestión en el período evaluado, sí se ha evidenciado que se han actualizado, modificado o subsanado acciones evidenciadas en los seguimientos autónomos realizados.</t>
  </si>
  <si>
    <t>Se evidenció que en las matrices de riesgo de los procesos internos, así como la matriz del proyecto Sistema Estratégico de Transporte Público para Armenia, cuentan con controles definidos para mitigar la probabilidad o impacto de ocurrencia de los riesgos identificados. Se evidencia en las matrices de riesgo construidas y almacenadas en el archivo de gestión de la Entidad. De igual manera, existe una matriz de riesgos de corrupción general publicada en la página web junto con el Plan Anticorrupción y de Atención al Ciudadano.</t>
  </si>
  <si>
    <t>No se evidenció la construcción de planes de mejoramiento para subsanar la materialización de riesgos o mitigar las consecuencias para la Entidad, no obstante, en los controles diseñados para mitigar los impactos o disminuir las probabilidades, sí se evidenció controles que buscan subsanar consecuencias una vez materializado un riesgo.</t>
  </si>
  <si>
    <t>Con el objetivo de realizar supervisión al Sistema de Control Interno, la Entidad, a través del área de control interno, supervisa y analiza los resultados obtenidos a través del FURAG. También se realizan seguimientos y auditorías a los procesos internos, donde se evidencian y alertan a la gerencia posibles desviaciones en la gestión administrativa de la Entidad.</t>
  </si>
  <si>
    <t>Se evidenció que la Entidad sí ha definido espacios de reunión donde se tratan temas relacionados a los problemas que afectan el cumplimiento de las metas u objetivos institucionales, además, se discuten y analizan acciones para su solución. De manera complementaria, esta Entidad cuenta con la asesoría de profesionales de otras entidades como Ministerio de Hacienda y Crédito Público, Ministerio de Transporte y DNP, quienes también participan en estos espacios, incluyendo, la identificación y evaluación de los riesgos de este proyecto.</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</si>
  <si>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periódica, determinando nuevos controles de acuerdo con los cambios en el contexto.</t>
  </si>
  <si>
    <t>Durante los seguimientos realizados a la gestión de los riesgos, se identifican oportunidades de mejora frente a cómo controlar los riesgos o los procesos, además, de proponer ajustes si se evidencia su necesidad. No obstante, las matrices de riesgo cuentan con controles y planes de mejoramiento cuando así lo requieren.</t>
  </si>
  <si>
    <t>Se realizan mediciones de aplicación de los controles a través de contratistas con obligaciones de planeación institucional y de la oficina asesora de control interno. De igual manera, los procesos reportan periódicamente el seguimiento a sus riesgos, información que se encuentra alojada en el espacio dispuesto en la ventanilla única virtual. Por parte de la Oficina de Control Interno, se recomienda fortalecer los procesos de monitoreo y seguimiento a los riesgos.</t>
  </si>
  <si>
    <t>Debido a que la Entidad solo cuenta con dos empleados públicos no se ha implementado de manera total las actividades relacionadas al sistema de estímulos establecido en la Ley 909 de 2004, a pesar de esta limitante, la Oficina Asesora de Control Interno sí se ha evidenciado para la realización de algunas actividades relacionadas al bienestar social como procesos de inducción a contratistas, celebración de fechas especiales, pausas activas, además, de la inclusión de los profesionales en jornadas de capacitación relacionados con la Alcaldía del municipio Armenia, Ministerio de Transporte, Ministerio de Hacienda y Crédito Público y Departamento Nacional de Planeación -  DNP.</t>
  </si>
  <si>
    <t xml:space="preserve">Amable participa de manera anual y de forma articulada con la administración central, en la audiencia pública de rendición de cuentas donde se presenta información de interés para el público en general. </t>
  </si>
  <si>
    <t>Amable cuenta con matrices de riesgo por proceso interno, donde se identificaron posibles eventos externos, además, también cuenta con una matriz de riesgos relacionada de manera directa a la gestión del proyecto Sistema Estratégico de Transporte Público en la ciudad de Armenia. Sin embargo, se recomienda analizar sobre la pertinencia de estos eventos de riesgo y actualizar o incluir, de ser necesario, nuevos eventos a partir de los cambios en el entorno de Amable. Para el período, se evidenció que los procesos actualizaron sus matrices de riesgo de acuerdo con la metodología incluida en la guía para la administración del riesgo expedida por parte del DAFP.</t>
  </si>
  <si>
    <t>Amable cuenta con una matriz de riesgos de corrupción la cual fue actualizada de acuerdo con el procedimiento establecido por el Departamento Administrativo de la Función Pública junto con el Plan Anticorrupción y de Atención al Ciudadano. Dicho mapa de riesgos puede ser consultado accediendo a través del siguiente enlace https://www.armeniaamable.gov.co/index.php/transparencia-ley-1712/6-participa/plan-anticorrupcion-y-atencion-al-ciudadano</t>
  </si>
  <si>
    <t>La Entidad ha identificado algunos riesgos relacionados con las tecnologías de la información como la administración de sistemas de información o equipos de cómputo con los cuales se cuenta. Se recomienda continuar con la identificación de otros riesgos correspondientes. se puede evidenciar en las matrices de riesgo de los procesos internos relacionados con administración de sistemas de información y tecnologías de la información.</t>
  </si>
  <si>
    <t>Se evidenció que la Entidad cuenta con mecanismos de seguimiento como lo son cronogramas y listas de chequeo de proyectos relacionados a la implementación del Sistema Estratégico de Transporte Público SETP.</t>
  </si>
  <si>
    <t>La Entidad cuenta con un plan de acción coherente con el Plan de Desarrollo Municipal del cuatrienio, de donde se desprende la ejecución de proyectos propios de la misionalidad del Sistema Estratégico de Transporte Público. Dichos planes pueden ser consultados en la página web institucional http://www.armeniaamable.gov.co/</t>
  </si>
  <si>
    <t>No se evidenció la existencia de políticas, procedimientos u otros documentos que contengan lineamientos frente al tratamiento de la información con carácter reservado. Se eleva la recomendación a la gerencia.</t>
  </si>
  <si>
    <t>La empresa ha establecido puntos de control en algunos puntos críticos de los procesos. La Oficina de Control Interno realiza auditorías a los puntos de control de acuerdo con su planificación anual.</t>
  </si>
  <si>
    <t>La Entidad cuenta con  políticas, directrices y otro información documentada, así como de herramientas de control como la adopción del código de integridad, manual de funciones, organigrama y plataforma estratégica institucional, que permiten tener claridad sobre algunos aspectos mínimos para la operación de la Entidad a través de su modelo de gestión. Asimismo, ha adoptado herramientas contenidas en el Modelo Integrado de Planeación y Gestión que permiten guiar a los colaboradores de la Entidad al cumplimiento de metas y objetivos. Se evidencia que estas herramientas deben ser socializadas con todos los contratistas y funcionarios, además, de actualizadas cuando se requiera. 
Se mantiene la recomendación de revisar y actualizar constantemente la información documentada como procedimientos, manuales y formatos. Además, fortalecer lo referente a la gestión del código de integridad e implementación de procedimientos para la gestión de conflictos de intereses</t>
  </si>
  <si>
    <t>No se evidenció un documento de adopción interna del Modelo Estándar de Control Interno en su última actualización. No obstante, la Empresa sí cuenta con evidencias de la implementación del MECI, así mismo, ha venido reportando su avance en el Formulario Único de Reporte de Avance de la Gestión - FURAG de la vigencia.</t>
  </si>
  <si>
    <t>No se evidenció que la Entidad realice proceso de desvinculación asistida a los servidores públicos. No obstante, y con sujeción al concepto de la Oficina Asesora de Control Interno, la Empresa no ha realizado cambios en su planta de personal desde hace más de 3 años, por tanto, se califica este elemento como positivo para el período de evaluación.</t>
  </si>
  <si>
    <t>La Entidad cuenta con un Plan Anticorrupción y de Atención al Ciudadano para la vigencia 2025, el cual fue aprobado por el Comité Institucional de Gestión y Desempeño y se encuentra publicado en la página web de la Entidad para la consulta de los interesados:  http://www.armeniaamable.gov.co/transparencia-ley-1712/plan-anticorrupcion-y-atencion-al-ciudadano</t>
  </si>
  <si>
    <t>Como parte del compromiso de Amable E.I.C.E. con la consolidación de su Sistema de Control Interno, se evidenció que continúa avanzando en acciones que garantizan su mantenimiento y fortalecimiento, en coherencia con los principios de autocontrol, autogestión y autorregulación, y conforme al modelo definido en la política del MIPG.
Sin embargo, es relevante fortalecer el conocimiento del Sistema de Control Interno entre todos los colaboradores de la Entidad, independientemente de su tipo de vinculación. Este fortalecimiento debe incluir tanto los principios que lo rigen como el entendimiento del modelo MIPG, sus componentes, y las responsabilidades que corresponden a cada rol institucional.
En cuanto a la gestión del riesgo, se mantiene la recomendación de garantizar el monitoreo de los riesgos y sus controles, y de revisar periódicamente su descripción, calificación y relevancia dentro de los procesos.</t>
  </si>
  <si>
    <t>Durante el nuevo ciclo de seguimiento, se evidencia que el Sistema de Control Interno ha facilitado la implementación y fortalecimiento de mecanismos de control y seguimiento orientados al logro de metas institucionales, la gestión del riesgo y la mejora continua. Estos avances han contribuido al cumplimiento progresivo de los objetivos misionales.
No obstante, la Entidad reconoce que persisten oportunidades relevantes para robustecer la madurez del Sistema, especialmente en lo relativo a la articulación entre procesos, la cultura organizacional de control y el aprovechamiento de herramientas tecnológicas. Abordar estos aspectos permitirá fortalecer la capacidad institucional para responder de manera más efectiva y coherente a los requerimientos de los diferentes grupos de interés y de valor.</t>
  </si>
  <si>
    <t>En el marco del presente ejercicio de seguimiento, se ha identificado que persiste la ausencia de documentación formal, clara y sistemática que delimite las responsabilidades y los integrantes de cada una de las líneas de defensa en la Entidad. Esta situación representa un riesgo para la consolidación de estructuras de control efectivas, afectando la trazabilidad, la apropiación conceptual del modelo y la sostenibilidad institucional.
Se ha observado que el tipo de vinculación contractual de los colaboradores influye directamente en esta dinámica, dado que la Entidad cuenta con una planta mínima de empleados públicos, mientras que el grueso del equipo operativo se compone de profesionales vinculados mediante contratos de prestación de servicios. Esta característica limita la permanencia, continuidad y apropiación del modelo de líneas de defensa.
En este contexto, se recomienda implementar acciones orientadas a formalizar y socializar el modelo de líneas de defensa con todos los integrantes de la Entidad, sin distinción de su tipo de vinculación. Lo anterior incluye la elaboración de documentos guía, sesiones de inducción funcional, generación de mecanismos de seguimiento y herramientas de apropiación que favorezcan una cultura institucional basada en la corresponsabilidad y el control.</t>
  </si>
  <si>
    <t>Amable cuenta con matrices de riesgo por procesos internos y del proyecto Sistema Estratégico de Transporte Público de la ciudad de Armenia, donde se identificaron riesgos y establecideron controles para su tratamiento, no obstante, se mantiene la recomendación de  fortalecer las actividades de apropiación de la cultura de gestión del riesgo. Durante el período, se evidenció la promoción del seguimiento y monitoreo de estos riesgos.</t>
  </si>
  <si>
    <t>Durante 2025, se evidenció que la empresa realizó la actualización de su página web de acuerdo con los resultados ITA.
Además, Amable cuenta con canales para la comunicación con grupos de interés internos y externos, sin embargo, se recomienda la documentación de responsabilidades frente a la comunicación interna y externa a través de políticas y procedimientos internos, o políticas de la dirección. Además, de la evaluación de necesidad para la creación e implementación de herramientas que mejoren la comunicación.
Al igual que el componente 1, se mantiene la recomendación de fortalecer y ampliar los canales de comunicación tanto con la ciudadanía como internamente, lo anterior, teniendo en cuenta la importancia de los procesos virtuales actualmente.</t>
  </si>
  <si>
    <t>Se evidenció que la Entidad cuenta con un Programa Anual de Auditoría basada en riesgos,  el cual fue revisado y aprobado por el Comité Institucional de Coordinación de Control Interno en enero de 2025. Por su parte, se evidenció que se suscriben planes de mejoramiento derivados de auditorías internas y externas, a los cuales se les realiza seguimiento a su avance y cumplimiento. 
Se recomienda fortalecer la cultura del mejoramiento continuo, promoviendo la documentación de acciones de mejora por autogestión, formulación de indicadores de gestión por procesos o áreas e identificación de puntos críticos en los procesos.</t>
  </si>
  <si>
    <t>01 DE ENERO DE 2025 A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</si>
</sst>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0" x14ac:knownFonts="1">
    <font>
      <sz val="11"/>
      <color theme="1"/>
      <name val="Calibri"/>
      <family val="2"/>
      <scheme val="minor"/>
    </font>
    <font>
      <sz val="12"/>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1"/>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4" fillId="0" borderId="0" applyFont="0" applyFill="0" applyBorder="0" applyAlignment="0" applyProtection="0"/>
    <xf numFmtId="0" fontId="22" fillId="0" borderId="0"/>
    <xf numFmtId="0" fontId="30" fillId="0" borderId="0"/>
    <xf numFmtId="0" fontId="34" fillId="0" borderId="0"/>
  </cellStyleXfs>
  <cellXfs count="320">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8" fillId="4" borderId="0" xfId="0" applyFont="1" applyFill="1" applyAlignment="1">
      <alignment horizontal="center"/>
    </xf>
    <xf numFmtId="0" fontId="0" fillId="4" borderId="21" xfId="0" applyFill="1" applyBorder="1"/>
    <xf numFmtId="164" fontId="8" fillId="4" borderId="0" xfId="0" applyNumberFormat="1" applyFont="1" applyFill="1" applyAlignment="1">
      <alignment horizontal="center"/>
    </xf>
    <xf numFmtId="0" fontId="9" fillId="4" borderId="0" xfId="0" applyFont="1" applyFill="1" applyAlignment="1">
      <alignment vertical="center"/>
    </xf>
    <xf numFmtId="0" fontId="11" fillId="4" borderId="0" xfId="0" applyFont="1" applyFill="1" applyAlignment="1">
      <alignment horizontal="center" vertical="center"/>
    </xf>
    <xf numFmtId="0" fontId="12" fillId="4" borderId="0" xfId="0" applyFont="1" applyFill="1"/>
    <xf numFmtId="0" fontId="10" fillId="4" borderId="0" xfId="0" applyFont="1" applyFill="1" applyAlignment="1">
      <alignment horizontal="center" vertical="center"/>
    </xf>
    <xf numFmtId="0" fontId="3" fillId="4" borderId="30" xfId="0" applyFont="1" applyFill="1" applyBorder="1" applyAlignment="1">
      <alignment horizontal="center" vertical="center"/>
    </xf>
    <xf numFmtId="0" fontId="3" fillId="4" borderId="0" xfId="0" applyFont="1" applyFill="1" applyAlignment="1">
      <alignment horizontal="center" vertical="center"/>
    </xf>
    <xf numFmtId="0" fontId="13" fillId="4" borderId="0" xfId="0" applyFont="1" applyFill="1" applyAlignment="1">
      <alignment wrapText="1"/>
    </xf>
    <xf numFmtId="0" fontId="14" fillId="4" borderId="0" xfId="0" applyFont="1" applyFill="1" applyAlignment="1">
      <alignment wrapText="1"/>
    </xf>
    <xf numFmtId="0" fontId="6" fillId="0" borderId="0" xfId="0" applyFont="1" applyAlignment="1">
      <alignment vertical="center"/>
    </xf>
    <xf numFmtId="9" fontId="3" fillId="0" borderId="0" xfId="0" applyNumberFormat="1" applyFont="1" applyAlignment="1">
      <alignment vertical="center"/>
    </xf>
    <xf numFmtId="0" fontId="3" fillId="4" borderId="21" xfId="0" applyFont="1" applyFill="1" applyBorder="1" applyAlignment="1">
      <alignment vertical="center"/>
    </xf>
    <xf numFmtId="0" fontId="3" fillId="4" borderId="0" xfId="0" applyFont="1" applyFill="1" applyAlignment="1">
      <alignment vertical="center"/>
    </xf>
    <xf numFmtId="0" fontId="0" fillId="0" borderId="3" xfId="0" applyBorder="1"/>
    <xf numFmtId="0" fontId="6" fillId="4" borderId="0" xfId="0" applyFont="1" applyFill="1" applyAlignment="1">
      <alignment vertical="center"/>
    </xf>
    <xf numFmtId="0" fontId="3" fillId="4" borderId="0" xfId="0" applyFont="1" applyFill="1" applyAlignment="1">
      <alignment horizontal="left" vertical="center"/>
    </xf>
    <xf numFmtId="0" fontId="16" fillId="4" borderId="0" xfId="0" applyFont="1" applyFill="1" applyAlignment="1">
      <alignment vertical="center"/>
    </xf>
    <xf numFmtId="0" fontId="17" fillId="4" borderId="0" xfId="0" applyFont="1" applyFill="1"/>
    <xf numFmtId="0" fontId="0" fillId="4" borderId="34" xfId="0" applyFill="1" applyBorder="1"/>
    <xf numFmtId="0" fontId="0" fillId="4" borderId="35" xfId="0" applyFill="1" applyBorder="1"/>
    <xf numFmtId="0" fontId="0" fillId="4" borderId="36" xfId="0" applyFill="1" applyBorder="1"/>
    <xf numFmtId="0" fontId="21" fillId="0" borderId="0" xfId="0" applyFont="1" applyAlignment="1">
      <alignment horizontal="center" wrapText="1"/>
    </xf>
    <xf numFmtId="0" fontId="6" fillId="4" borderId="0" xfId="0" applyFont="1" applyFill="1" applyAlignment="1">
      <alignment horizontal="center" vertical="center" wrapText="1"/>
    </xf>
    <xf numFmtId="0" fontId="5" fillId="4" borderId="0" xfId="0" applyFont="1" applyFill="1"/>
    <xf numFmtId="0" fontId="6" fillId="4" borderId="0" xfId="0" applyFont="1" applyFill="1" applyAlignment="1">
      <alignment horizontal="left" vertical="center"/>
    </xf>
    <xf numFmtId="9" fontId="6" fillId="4" borderId="0" xfId="0" applyNumberFormat="1" applyFont="1" applyFill="1" applyAlignment="1">
      <alignment horizontal="center" vertical="center"/>
    </xf>
    <xf numFmtId="0" fontId="5" fillId="4" borderId="0" xfId="0" applyFont="1" applyFill="1" applyAlignment="1">
      <alignment horizontal="left"/>
    </xf>
    <xf numFmtId="0" fontId="23" fillId="0" borderId="0" xfId="2" applyFont="1" applyAlignment="1" applyProtection="1">
      <alignment vertical="center"/>
      <protection locked="0"/>
    </xf>
    <xf numFmtId="49" fontId="25" fillId="4" borderId="0" xfId="2" applyNumberFormat="1" applyFont="1" applyFill="1" applyAlignment="1" applyProtection="1">
      <alignment vertical="center"/>
      <protection locked="0"/>
    </xf>
    <xf numFmtId="0" fontId="25" fillId="4" borderId="0" xfId="2" applyFont="1" applyFill="1" applyAlignment="1" applyProtection="1">
      <alignment vertical="center"/>
      <protection locked="0"/>
    </xf>
    <xf numFmtId="9" fontId="27" fillId="4" borderId="0" xfId="2" applyNumberFormat="1" applyFont="1" applyFill="1" applyAlignment="1" applyProtection="1">
      <alignment vertical="center"/>
      <protection locked="0"/>
    </xf>
    <xf numFmtId="9" fontId="23" fillId="4" borderId="0" xfId="1" applyFont="1" applyFill="1" applyAlignment="1" applyProtection="1">
      <alignment vertical="center"/>
      <protection locked="0"/>
    </xf>
    <xf numFmtId="9" fontId="23" fillId="4" borderId="0" xfId="2" applyNumberFormat="1" applyFont="1" applyFill="1" applyAlignment="1" applyProtection="1">
      <alignment vertical="center"/>
      <protection locked="0"/>
    </xf>
    <xf numFmtId="0" fontId="27" fillId="4" borderId="0" xfId="2" applyFont="1" applyFill="1" applyAlignment="1" applyProtection="1">
      <alignment vertical="center"/>
      <protection locked="0"/>
    </xf>
    <xf numFmtId="0" fontId="27" fillId="0" borderId="0" xfId="3" applyFont="1"/>
    <xf numFmtId="0" fontId="8" fillId="4" borderId="0" xfId="0" applyFont="1" applyFill="1"/>
    <xf numFmtId="0" fontId="8" fillId="0" borderId="0" xfId="0" applyFont="1"/>
    <xf numFmtId="0" fontId="37" fillId="0" borderId="0" xfId="0" applyFont="1" applyAlignment="1">
      <alignment vertical="top"/>
    </xf>
    <xf numFmtId="49" fontId="37" fillId="0" borderId="0" xfId="0" applyNumberFormat="1" applyFont="1" applyAlignment="1">
      <alignment horizontal="center" vertical="top"/>
    </xf>
    <xf numFmtId="0" fontId="23" fillId="4" borderId="0" xfId="2" applyFont="1" applyFill="1" applyAlignment="1" applyProtection="1">
      <alignment vertical="center"/>
      <protection locked="0"/>
    </xf>
    <xf numFmtId="0" fontId="27" fillId="4" borderId="0" xfId="3" applyFont="1" applyFill="1"/>
    <xf numFmtId="0" fontId="27" fillId="4" borderId="59" xfId="3" applyFont="1" applyFill="1" applyBorder="1" applyAlignment="1">
      <alignment vertical="top" wrapText="1"/>
    </xf>
    <xf numFmtId="0" fontId="27" fillId="4" borderId="0" xfId="3" applyFont="1" applyFill="1" applyAlignment="1">
      <alignment vertical="top" wrapText="1"/>
    </xf>
    <xf numFmtId="0" fontId="27" fillId="4" borderId="60" xfId="3" applyFont="1" applyFill="1" applyBorder="1" applyAlignment="1">
      <alignment vertical="top" wrapText="1"/>
    </xf>
    <xf numFmtId="0" fontId="27" fillId="4" borderId="59" xfId="3" applyFont="1" applyFill="1" applyBorder="1" applyAlignment="1">
      <alignment horizontal="left" vertical="top"/>
    </xf>
    <xf numFmtId="0" fontId="27" fillId="4" borderId="60" xfId="3" applyFont="1" applyFill="1" applyBorder="1" applyAlignment="1">
      <alignment horizontal="left" vertical="top"/>
    </xf>
    <xf numFmtId="0" fontId="27" fillId="4" borderId="59" xfId="3" applyFont="1" applyFill="1" applyBorder="1"/>
    <xf numFmtId="0" fontId="35" fillId="4" borderId="0" xfId="4" applyFont="1" applyFill="1" applyAlignment="1">
      <alignment horizontal="left" vertical="top" wrapText="1" readingOrder="1"/>
    </xf>
    <xf numFmtId="0" fontId="27" fillId="4" borderId="60" xfId="3" applyFont="1" applyFill="1" applyBorder="1"/>
    <xf numFmtId="0" fontId="27" fillId="4" borderId="72" xfId="3" applyFont="1" applyFill="1" applyBorder="1"/>
    <xf numFmtId="0" fontId="27" fillId="4" borderId="73" xfId="3" applyFont="1" applyFill="1" applyBorder="1"/>
    <xf numFmtId="0" fontId="27" fillId="4" borderId="74" xfId="3" applyFont="1" applyFill="1" applyBorder="1"/>
    <xf numFmtId="0" fontId="35" fillId="4" borderId="0" xfId="0" applyFont="1" applyFill="1" applyAlignment="1">
      <alignment horizontal="left" vertical="center" wrapText="1"/>
    </xf>
    <xf numFmtId="0" fontId="36" fillId="4" borderId="0" xfId="0" applyFont="1" applyFill="1" applyAlignment="1">
      <alignment horizontal="left" vertical="top" wrapText="1"/>
    </xf>
    <xf numFmtId="0" fontId="27" fillId="4" borderId="0" xfId="3" quotePrefix="1" applyFont="1" applyFill="1" applyAlignment="1">
      <alignment horizontal="left" vertical="center" wrapText="1"/>
    </xf>
    <xf numFmtId="0" fontId="33" fillId="4" borderId="0" xfId="3" applyFont="1" applyFill="1" applyAlignment="1">
      <alignment horizontal="left" vertical="center" wrapText="1"/>
    </xf>
    <xf numFmtId="0" fontId="27" fillId="4" borderId="0" xfId="3"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vertical="center"/>
    </xf>
    <xf numFmtId="0" fontId="9" fillId="4" borderId="0" xfId="0" applyFont="1" applyFill="1"/>
    <xf numFmtId="0" fontId="9" fillId="0" borderId="0" xfId="0" applyFont="1" applyAlignment="1">
      <alignment vertical="top"/>
    </xf>
    <xf numFmtId="0" fontId="9" fillId="0" borderId="0" xfId="0" applyFont="1"/>
    <xf numFmtId="0" fontId="45" fillId="9" borderId="11" xfId="0" applyFont="1" applyFill="1" applyBorder="1" applyAlignment="1">
      <alignment horizontal="center" vertical="top" wrapText="1"/>
    </xf>
    <xf numFmtId="49" fontId="46" fillId="5" borderId="7" xfId="0" applyNumberFormat="1" applyFont="1" applyFill="1" applyBorder="1" applyAlignment="1">
      <alignment horizontal="center" vertical="center" wrapText="1"/>
    </xf>
    <xf numFmtId="0" fontId="46" fillId="5" borderId="7" xfId="0" applyFont="1" applyFill="1" applyBorder="1" applyAlignment="1">
      <alignment horizontal="center" vertical="center" wrapText="1"/>
    </xf>
    <xf numFmtId="0" fontId="46" fillId="5" borderId="10" xfId="0" applyFont="1" applyFill="1" applyBorder="1" applyAlignment="1">
      <alignment horizontal="center" vertical="center" wrapText="1"/>
    </xf>
    <xf numFmtId="0" fontId="47" fillId="0" borderId="2" xfId="0" applyFont="1" applyBorder="1" applyAlignment="1">
      <alignment horizontal="center" vertical="center" wrapText="1"/>
    </xf>
    <xf numFmtId="0" fontId="47" fillId="0" borderId="2" xfId="0" applyFont="1" applyBorder="1" applyAlignment="1">
      <alignment horizontal="left" vertical="center" wrapText="1"/>
    </xf>
    <xf numFmtId="0" fontId="47" fillId="0" borderId="3" xfId="0" applyFont="1" applyBorder="1" applyAlignment="1">
      <alignment horizontal="center" vertical="center" wrapText="1"/>
    </xf>
    <xf numFmtId="0" fontId="48" fillId="0" borderId="3" xfId="0" applyFont="1" applyBorder="1" applyAlignment="1">
      <alignment horizontal="left" vertical="center" wrapText="1"/>
    </xf>
    <xf numFmtId="0" fontId="47" fillId="0" borderId="3" xfId="0" applyFont="1" applyBorder="1" applyAlignment="1">
      <alignment horizontal="left" vertical="center" wrapText="1"/>
    </xf>
    <xf numFmtId="0" fontId="47" fillId="0" borderId="4" xfId="0" applyFont="1" applyBorder="1" applyAlignment="1">
      <alignment horizontal="center" vertical="center" wrapText="1"/>
    </xf>
    <xf numFmtId="0" fontId="47" fillId="0" borderId="4" xfId="0" applyFont="1" applyBorder="1" applyAlignment="1">
      <alignment horizontal="left" vertical="center" wrapText="1"/>
    </xf>
    <xf numFmtId="0" fontId="10" fillId="13" borderId="3" xfId="0" applyFont="1" applyFill="1" applyBorder="1" applyAlignment="1">
      <alignment horizontal="center" vertical="center" wrapText="1"/>
    </xf>
    <xf numFmtId="0" fontId="51" fillId="0" borderId="0" xfId="0" applyFont="1" applyAlignment="1">
      <alignment horizontal="center" wrapText="1"/>
    </xf>
    <xf numFmtId="0" fontId="10" fillId="15"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52" fillId="2" borderId="3" xfId="0" applyFont="1" applyFill="1" applyBorder="1" applyAlignment="1">
      <alignment horizontal="center" vertical="center"/>
    </xf>
    <xf numFmtId="0" fontId="43" fillId="0" borderId="3" xfId="0" applyFont="1" applyBorder="1" applyAlignment="1">
      <alignment horizontal="center" vertical="center"/>
    </xf>
    <xf numFmtId="0" fontId="54" fillId="0" borderId="0" xfId="0" applyFont="1" applyAlignment="1">
      <alignment horizontal="center"/>
    </xf>
    <xf numFmtId="0" fontId="53" fillId="12" borderId="31" xfId="0" applyFont="1" applyFill="1" applyBorder="1" applyAlignment="1">
      <alignment horizontal="center" vertical="center" wrapText="1"/>
    </xf>
    <xf numFmtId="0" fontId="43" fillId="0" borderId="0" xfId="0" applyFont="1" applyAlignment="1">
      <alignment horizontal="center" vertical="center" wrapText="1"/>
    </xf>
    <xf numFmtId="0" fontId="26" fillId="4" borderId="0" xfId="2" applyFont="1" applyFill="1" applyAlignment="1">
      <alignment vertical="center" wrapText="1"/>
    </xf>
    <xf numFmtId="0" fontId="36" fillId="4" borderId="0" xfId="2" applyFont="1" applyFill="1" applyAlignment="1">
      <alignment vertical="center" wrapText="1"/>
    </xf>
    <xf numFmtId="0" fontId="37" fillId="0" borderId="0" xfId="0" applyFont="1" applyAlignment="1" applyProtection="1">
      <alignment horizontal="center" vertical="top"/>
      <protection hidden="1"/>
    </xf>
    <xf numFmtId="0" fontId="39" fillId="0" borderId="79" xfId="0" applyFont="1" applyBorder="1" applyAlignment="1" applyProtection="1">
      <alignment horizontal="center" vertical="center" wrapText="1"/>
      <protection hidden="1"/>
    </xf>
    <xf numFmtId="0" fontId="9" fillId="0" borderId="0" xfId="0" applyFont="1" applyAlignment="1" applyProtection="1">
      <alignment horizontal="center" vertical="top"/>
      <protection hidden="1"/>
    </xf>
    <xf numFmtId="0" fontId="40" fillId="0" borderId="9" xfId="0" applyFont="1" applyBorder="1" applyAlignment="1" applyProtection="1">
      <alignment horizontal="center" vertical="center" wrapText="1"/>
      <protection hidden="1"/>
    </xf>
    <xf numFmtId="49" fontId="9" fillId="0" borderId="0" xfId="0" applyNumberFormat="1"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0" fontId="39" fillId="0" borderId="80" xfId="0" applyFont="1" applyBorder="1" applyAlignment="1" applyProtection="1">
      <alignment horizontal="center" vertical="center" wrapText="1"/>
      <protection hidden="1"/>
    </xf>
    <xf numFmtId="0" fontId="9" fillId="0" borderId="0" xfId="0" applyFont="1" applyAlignment="1" applyProtection="1">
      <alignment vertical="top"/>
      <protection hidden="1"/>
    </xf>
    <xf numFmtId="0" fontId="44" fillId="0" borderId="2" xfId="0" applyFont="1" applyBorder="1" applyAlignment="1" applyProtection="1">
      <alignment horizontal="center" vertical="center" wrapText="1"/>
      <protection locked="0"/>
    </xf>
    <xf numFmtId="0" fontId="44" fillId="0" borderId="3" xfId="0"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20" fillId="2" borderId="82" xfId="2" applyFont="1" applyFill="1" applyBorder="1" applyAlignment="1">
      <alignment horizontal="center" vertical="center"/>
    </xf>
    <xf numFmtId="0" fontId="20" fillId="2" borderId="82" xfId="2" applyFont="1" applyFill="1" applyBorder="1" applyAlignment="1">
      <alignment horizontal="center" vertical="center" wrapText="1"/>
    </xf>
    <xf numFmtId="0" fontId="2"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1" fillId="0" borderId="84" xfId="0" applyFont="1" applyBorder="1" applyAlignment="1" applyProtection="1">
      <alignment vertical="center" wrapText="1"/>
      <protection hidden="1"/>
    </xf>
    <xf numFmtId="0" fontId="2"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1" fillId="0" borderId="85" xfId="0" applyFont="1" applyBorder="1" applyAlignment="1" applyProtection="1">
      <alignment vertical="center" wrapText="1"/>
      <protection hidden="1"/>
    </xf>
    <xf numFmtId="0" fontId="2"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1" fillId="0" borderId="86" xfId="0" applyFont="1" applyBorder="1" applyAlignment="1" applyProtection="1">
      <alignment vertical="center" wrapText="1"/>
      <protection hidden="1"/>
    </xf>
    <xf numFmtId="0" fontId="2"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1" fillId="0" borderId="5" xfId="0" applyFont="1" applyBorder="1" applyAlignment="1" applyProtection="1">
      <alignment vertical="center" wrapText="1"/>
      <protection hidden="1"/>
    </xf>
    <xf numFmtId="0" fontId="2"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1" fillId="0" borderId="6" xfId="0" applyFont="1" applyBorder="1" applyAlignment="1" applyProtection="1">
      <alignment vertical="center" wrapText="1"/>
      <protection hidden="1"/>
    </xf>
    <xf numFmtId="0" fontId="41" fillId="0" borderId="3" xfId="0" applyFont="1" applyBorder="1" applyAlignment="1" applyProtection="1">
      <alignment vertical="center" wrapText="1"/>
      <protection hidden="1"/>
    </xf>
    <xf numFmtId="0" fontId="41" fillId="0" borderId="7" xfId="0" applyFont="1" applyBorder="1" applyAlignment="1" applyProtection="1">
      <alignment vertical="center" wrapText="1"/>
      <protection hidden="1"/>
    </xf>
    <xf numFmtId="0" fontId="49"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3" fillId="2" borderId="26" xfId="0" applyNumberFormat="1" applyFont="1" applyFill="1" applyBorder="1" applyAlignment="1" applyProtection="1">
      <alignment horizontal="center" vertical="center"/>
      <protection hidden="1"/>
    </xf>
    <xf numFmtId="0" fontId="43" fillId="0" borderId="3" xfId="0" applyFont="1" applyBorder="1" applyAlignment="1" applyProtection="1">
      <alignment horizontal="center" vertical="center"/>
      <protection hidden="1"/>
    </xf>
    <xf numFmtId="9" fontId="15" fillId="14" borderId="3" xfId="0" applyNumberFormat="1" applyFont="1" applyFill="1" applyBorder="1" applyAlignment="1" applyProtection="1">
      <alignment horizontal="center" vertical="center"/>
      <protection hidden="1"/>
    </xf>
    <xf numFmtId="49" fontId="56" fillId="4" borderId="2" xfId="0" applyNumberFormat="1" applyFont="1" applyFill="1" applyBorder="1" applyAlignment="1" applyProtection="1">
      <alignment horizontal="center" vertical="center" wrapText="1"/>
      <protection locked="0"/>
    </xf>
    <xf numFmtId="49" fontId="56" fillId="4" borderId="3" xfId="0" applyNumberFormat="1" applyFont="1" applyFill="1" applyBorder="1" applyAlignment="1" applyProtection="1">
      <alignment horizontal="center" vertical="center" wrapText="1"/>
      <protection locked="0"/>
    </xf>
    <xf numFmtId="49" fontId="56" fillId="4" borderId="4" xfId="0" applyNumberFormat="1" applyFont="1" applyFill="1" applyBorder="1" applyAlignment="1" applyProtection="1">
      <alignment horizontal="center" vertical="center" wrapText="1"/>
      <protection locked="0"/>
    </xf>
    <xf numFmtId="49" fontId="19" fillId="5" borderId="7" xfId="0" applyNumberFormat="1" applyFont="1" applyFill="1" applyBorder="1" applyAlignment="1" applyProtection="1">
      <alignment horizontal="center" vertical="center" wrapText="1"/>
      <protection hidden="1"/>
    </xf>
    <xf numFmtId="0" fontId="19" fillId="5" borderId="7" xfId="0" applyFont="1" applyFill="1" applyBorder="1" applyAlignment="1" applyProtection="1">
      <alignment horizontal="center" vertical="center" wrapText="1"/>
      <protection hidden="1"/>
    </xf>
    <xf numFmtId="0" fontId="19" fillId="5" borderId="10" xfId="0" applyFont="1" applyFill="1" applyBorder="1" applyAlignment="1" applyProtection="1">
      <alignment horizontal="center" vertical="center" wrapText="1"/>
      <protection hidden="1"/>
    </xf>
    <xf numFmtId="0" fontId="19"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0" fontId="48" fillId="4" borderId="0" xfId="0" applyFont="1" applyFill="1"/>
    <xf numFmtId="0" fontId="19" fillId="5" borderId="5" xfId="0" applyFont="1" applyFill="1" applyBorder="1" applyAlignment="1">
      <alignment horizontal="center" vertical="center" wrapText="1"/>
    </xf>
    <xf numFmtId="0" fontId="47" fillId="0" borderId="79" xfId="0" applyFont="1" applyBorder="1" applyAlignment="1" applyProtection="1">
      <alignment horizontal="left" vertical="center" wrapText="1"/>
      <protection locked="0"/>
    </xf>
    <xf numFmtId="0" fontId="47" fillId="0" borderId="9" xfId="0" applyFont="1" applyBorder="1" applyAlignment="1" applyProtection="1">
      <alignment horizontal="left" vertical="center" wrapText="1"/>
      <protection locked="0"/>
    </xf>
    <xf numFmtId="0" fontId="47" fillId="0" borderId="80" xfId="0" applyFont="1" applyBorder="1" applyAlignment="1" applyProtection="1">
      <alignment horizontal="left" vertical="center" wrapText="1"/>
      <protection locked="0"/>
    </xf>
    <xf numFmtId="0" fontId="48" fillId="0" borderId="0" xfId="0" applyFont="1"/>
    <xf numFmtId="0" fontId="48" fillId="0" borderId="9" xfId="0" applyFont="1" applyBorder="1" applyAlignment="1" applyProtection="1">
      <alignment horizontal="left" vertical="center" wrapText="1"/>
      <protection locked="0"/>
    </xf>
    <xf numFmtId="49" fontId="45" fillId="9" borderId="14" xfId="0" applyNumberFormat="1" applyFont="1" applyFill="1" applyBorder="1" applyAlignment="1">
      <alignment horizontal="center" vertical="center" wrapText="1"/>
    </xf>
    <xf numFmtId="49" fontId="45" fillId="9" borderId="11" xfId="0" applyNumberFormat="1" applyFont="1" applyFill="1" applyBorder="1" applyAlignment="1">
      <alignment horizontal="center" vertical="center" wrapText="1"/>
    </xf>
    <xf numFmtId="0" fontId="27" fillId="4" borderId="59" xfId="3" applyFont="1" applyFill="1" applyBorder="1" applyAlignment="1">
      <alignment horizontal="left" vertical="top" wrapText="1"/>
    </xf>
    <xf numFmtId="0" fontId="27" fillId="4" borderId="0" xfId="3" applyFont="1" applyFill="1" applyAlignment="1">
      <alignment horizontal="left" vertical="top" wrapText="1"/>
    </xf>
    <xf numFmtId="0" fontId="27" fillId="4" borderId="60" xfId="3" applyFont="1" applyFill="1" applyBorder="1" applyAlignment="1">
      <alignment horizontal="left" vertical="top" wrapText="1"/>
    </xf>
    <xf numFmtId="0" fontId="27" fillId="4" borderId="0" xfId="3" applyFont="1" applyFill="1"/>
    <xf numFmtId="0" fontId="35" fillId="4" borderId="77" xfId="0" applyFont="1" applyFill="1" applyBorder="1" applyAlignment="1">
      <alignment horizontal="left" vertical="center" wrapText="1"/>
    </xf>
    <xf numFmtId="0" fontId="35" fillId="4" borderId="78" xfId="0" applyFont="1" applyFill="1" applyBorder="1" applyAlignment="1">
      <alignment horizontal="left" vertical="center" wrapText="1"/>
    </xf>
    <xf numFmtId="0" fontId="36" fillId="0" borderId="69" xfId="3" applyFont="1" applyBorder="1" applyAlignment="1">
      <alignment horizontal="left" vertical="center" wrapText="1"/>
    </xf>
    <xf numFmtId="0" fontId="36" fillId="0" borderId="70" xfId="3" applyFont="1" applyBorder="1" applyAlignment="1">
      <alignment horizontal="left" vertical="center" wrapText="1"/>
    </xf>
    <xf numFmtId="0" fontId="18" fillId="2" borderId="44" xfId="2" applyFont="1" applyFill="1" applyBorder="1" applyAlignment="1">
      <alignment horizontal="center" vertical="center" wrapText="1"/>
    </xf>
    <xf numFmtId="0" fontId="18" fillId="2" borderId="45" xfId="2" applyFont="1" applyFill="1" applyBorder="1" applyAlignment="1">
      <alignment horizontal="center" vertical="center" wrapText="1"/>
    </xf>
    <xf numFmtId="0" fontId="26" fillId="7" borderId="50" xfId="2" applyFont="1" applyFill="1" applyBorder="1" applyAlignment="1">
      <alignment horizontal="center" vertical="center"/>
    </xf>
    <xf numFmtId="0" fontId="26" fillId="7" borderId="51" xfId="2" applyFont="1" applyFill="1" applyBorder="1" applyAlignment="1">
      <alignment horizontal="center" vertical="center"/>
    </xf>
    <xf numFmtId="0" fontId="27" fillId="0" borderId="56" xfId="2" applyFont="1" applyBorder="1" applyAlignment="1">
      <alignment horizontal="justify" vertical="center" wrapText="1"/>
    </xf>
    <xf numFmtId="0" fontId="27" fillId="0" borderId="57" xfId="2" applyFont="1" applyBorder="1" applyAlignment="1">
      <alignment horizontal="justify" vertical="center" wrapText="1"/>
    </xf>
    <xf numFmtId="0" fontId="26" fillId="8" borderId="52" xfId="2" applyFont="1" applyFill="1" applyBorder="1" applyAlignment="1">
      <alignment horizontal="center" vertical="center" wrapText="1"/>
    </xf>
    <xf numFmtId="0" fontId="26" fillId="8" borderId="53" xfId="2" applyFont="1" applyFill="1" applyBorder="1" applyAlignment="1">
      <alignment horizontal="center" vertical="center"/>
    </xf>
    <xf numFmtId="0" fontId="27" fillId="0" borderId="53" xfId="2" applyFont="1" applyBorder="1" applyAlignment="1">
      <alignment horizontal="justify" vertical="center" wrapText="1"/>
    </xf>
    <xf numFmtId="0" fontId="27" fillId="0" borderId="54" xfId="2" applyFont="1" applyBorder="1" applyAlignment="1">
      <alignment horizontal="justify" vertical="center" wrapText="1"/>
    </xf>
    <xf numFmtId="0" fontId="38" fillId="4" borderId="71" xfId="2" applyFont="1" applyFill="1" applyBorder="1" applyAlignment="1">
      <alignment horizontal="center" vertical="center" wrapText="1"/>
    </xf>
    <xf numFmtId="0" fontId="25" fillId="4" borderId="71" xfId="2" applyFont="1" applyFill="1" applyBorder="1" applyAlignment="1">
      <alignment horizontal="center" vertical="center" wrapText="1"/>
    </xf>
    <xf numFmtId="0" fontId="18" fillId="2" borderId="46" xfId="2" applyFont="1" applyFill="1" applyBorder="1" applyAlignment="1">
      <alignment horizontal="center" vertical="center" wrapText="1"/>
    </xf>
    <xf numFmtId="0" fontId="26" fillId="14" borderId="47" xfId="2" applyFont="1" applyFill="1" applyBorder="1" applyAlignment="1">
      <alignment horizontal="center" vertical="center"/>
    </xf>
    <xf numFmtId="0" fontId="26" fillId="14" borderId="48" xfId="2" applyFont="1" applyFill="1" applyBorder="1" applyAlignment="1">
      <alignment horizontal="center" vertical="center"/>
    </xf>
    <xf numFmtId="0" fontId="27" fillId="0" borderId="48" xfId="2" applyFont="1" applyBorder="1" applyAlignment="1">
      <alignment horizontal="justify" vertical="center" wrapText="1"/>
    </xf>
    <xf numFmtId="0" fontId="27" fillId="0" borderId="49" xfId="2" applyFont="1" applyBorder="1" applyAlignment="1">
      <alignment horizontal="justify" vertical="center" wrapText="1"/>
    </xf>
    <xf numFmtId="0" fontId="35" fillId="4" borderId="75" xfId="4" applyFont="1" applyFill="1" applyBorder="1" applyAlignment="1">
      <alignment horizontal="left" vertical="center" wrapText="1" readingOrder="1"/>
    </xf>
    <xf numFmtId="0" fontId="35" fillId="4" borderId="76" xfId="4" applyFont="1" applyFill="1" applyBorder="1" applyAlignment="1">
      <alignment horizontal="left" vertical="center" wrapText="1" readingOrder="1"/>
    </xf>
    <xf numFmtId="0" fontId="36" fillId="0" borderId="65" xfId="3" applyFont="1" applyBorder="1" applyAlignment="1">
      <alignment horizontal="left" vertical="center" wrapText="1"/>
    </xf>
    <xf numFmtId="0" fontId="36" fillId="0" borderId="66" xfId="3" applyFont="1" applyBorder="1" applyAlignment="1">
      <alignment horizontal="left" vertical="center" wrapText="1"/>
    </xf>
    <xf numFmtId="0" fontId="35" fillId="4" borderId="67" xfId="0" applyFont="1" applyFill="1" applyBorder="1" applyAlignment="1">
      <alignment horizontal="left" vertical="center" wrapText="1"/>
    </xf>
    <xf numFmtId="0" fontId="35" fillId="4" borderId="68" xfId="0" applyFont="1" applyFill="1" applyBorder="1" applyAlignment="1">
      <alignment horizontal="left" vertical="center" wrapText="1"/>
    </xf>
    <xf numFmtId="0" fontId="36" fillId="0" borderId="69" xfId="3" applyFont="1" applyBorder="1" applyAlignment="1">
      <alignment horizontal="left" vertical="top" wrapText="1"/>
    </xf>
    <xf numFmtId="0" fontId="36" fillId="0" borderId="70" xfId="3" applyFont="1" applyBorder="1" applyAlignment="1">
      <alignment horizontal="left" vertical="top" wrapText="1"/>
    </xf>
    <xf numFmtId="0" fontId="31" fillId="0" borderId="58"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8" xfId="3" applyFont="1" applyBorder="1" applyAlignment="1">
      <alignment horizontal="center" vertical="center" wrapText="1"/>
    </xf>
    <xf numFmtId="0" fontId="27" fillId="0" borderId="59" xfId="3" quotePrefix="1" applyFont="1" applyBorder="1" applyAlignment="1">
      <alignment horizontal="left" vertical="center" wrapText="1"/>
    </xf>
    <xf numFmtId="0" fontId="27" fillId="0" borderId="0" xfId="3" quotePrefix="1" applyFont="1" applyAlignment="1">
      <alignment horizontal="left" vertical="center" wrapText="1"/>
    </xf>
    <xf numFmtId="0" fontId="27" fillId="0" borderId="60" xfId="3" quotePrefix="1" applyFont="1" applyBorder="1" applyAlignment="1">
      <alignment horizontal="left" vertical="center" wrapText="1"/>
    </xf>
    <xf numFmtId="0" fontId="32" fillId="4" borderId="59" xfId="3" quotePrefix="1" applyFont="1" applyFill="1" applyBorder="1" applyAlignment="1">
      <alignment horizontal="left" vertical="top" wrapText="1"/>
    </xf>
    <xf numFmtId="0" fontId="26" fillId="4" borderId="0" xfId="3" quotePrefix="1" applyFont="1" applyFill="1" applyAlignment="1">
      <alignment horizontal="left" vertical="top" wrapText="1"/>
    </xf>
    <xf numFmtId="0" fontId="26" fillId="4" borderId="60" xfId="3" quotePrefix="1" applyFont="1" applyFill="1" applyBorder="1" applyAlignment="1">
      <alignment horizontal="left" vertical="top" wrapText="1"/>
    </xf>
    <xf numFmtId="0" fontId="27" fillId="4" borderId="59" xfId="3" quotePrefix="1" applyFont="1" applyFill="1" applyBorder="1" applyAlignment="1">
      <alignment horizontal="left" vertical="top" wrapText="1"/>
    </xf>
    <xf numFmtId="0" fontId="27" fillId="4" borderId="0" xfId="3" quotePrefix="1" applyFont="1" applyFill="1" applyAlignment="1">
      <alignment horizontal="left" vertical="top" wrapText="1"/>
    </xf>
    <xf numFmtId="0" fontId="27" fillId="4" borderId="60" xfId="3" quotePrefix="1" applyFont="1" applyFill="1" applyBorder="1" applyAlignment="1">
      <alignment horizontal="left" vertical="top" wrapText="1"/>
    </xf>
    <xf numFmtId="0" fontId="35" fillId="16" borderId="61" xfId="4" applyFont="1" applyFill="1" applyBorder="1" applyAlignment="1">
      <alignment horizontal="center" vertical="center" wrapText="1"/>
    </xf>
    <xf numFmtId="0" fontId="35" fillId="16" borderId="62" xfId="4" applyFont="1" applyFill="1" applyBorder="1" applyAlignment="1">
      <alignment horizontal="center" vertical="center" wrapText="1"/>
    </xf>
    <xf numFmtId="0" fontId="35" fillId="16" borderId="63" xfId="3" applyFont="1" applyFill="1" applyBorder="1" applyAlignment="1">
      <alignment horizontal="center" vertical="center"/>
    </xf>
    <xf numFmtId="0" fontId="35" fillId="16" borderId="64" xfId="3" applyFont="1" applyFill="1" applyBorder="1" applyAlignment="1">
      <alignment horizontal="center" vertical="center"/>
    </xf>
    <xf numFmtId="49" fontId="46" fillId="5" borderId="0" xfId="0" applyNumberFormat="1" applyFont="1" applyFill="1" applyAlignment="1">
      <alignment horizontal="center" vertical="center"/>
    </xf>
    <xf numFmtId="0" fontId="45" fillId="11" borderId="11"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45" fillId="11" borderId="13" xfId="0" applyFont="1" applyFill="1" applyBorder="1" applyAlignment="1">
      <alignment horizontal="center" vertical="center" wrapText="1"/>
    </xf>
    <xf numFmtId="49" fontId="45" fillId="11" borderId="14" xfId="0" applyNumberFormat="1" applyFont="1" applyFill="1" applyBorder="1" applyAlignment="1">
      <alignment horizontal="center" vertical="center" wrapText="1"/>
    </xf>
    <xf numFmtId="49" fontId="45" fillId="11" borderId="15" xfId="0" applyNumberFormat="1" applyFont="1" applyFill="1" applyBorder="1" applyAlignment="1">
      <alignment horizontal="center" vertical="center" wrapText="1"/>
    </xf>
    <xf numFmtId="49" fontId="45" fillId="11" borderId="16" xfId="0" applyNumberFormat="1" applyFont="1" applyFill="1" applyBorder="1" applyAlignment="1">
      <alignment horizontal="center" vertical="center" wrapText="1"/>
    </xf>
    <xf numFmtId="0" fontId="45" fillId="9" borderId="11" xfId="0" applyFont="1" applyFill="1" applyBorder="1" applyAlignment="1">
      <alignment horizontal="center" vertical="center" wrapText="1"/>
    </xf>
    <xf numFmtId="0" fontId="45" fillId="9" borderId="12" xfId="0" applyFont="1" applyFill="1" applyBorder="1" applyAlignment="1">
      <alignment horizontal="center" vertical="center" wrapText="1"/>
    </xf>
    <xf numFmtId="0" fontId="45" fillId="9" borderId="13" xfId="0" applyFont="1" applyFill="1" applyBorder="1" applyAlignment="1">
      <alignment horizontal="center" vertical="center" wrapText="1"/>
    </xf>
    <xf numFmtId="49" fontId="45" fillId="9" borderId="14" xfId="0" applyNumberFormat="1" applyFont="1" applyFill="1" applyBorder="1" applyAlignment="1">
      <alignment horizontal="center" vertical="center" wrapText="1"/>
    </xf>
    <xf numFmtId="49" fontId="45" fillId="9" borderId="15" xfId="0" applyNumberFormat="1" applyFont="1" applyFill="1" applyBorder="1" applyAlignment="1">
      <alignment horizontal="center" vertical="center" wrapText="1"/>
    </xf>
    <xf numFmtId="49" fontId="45" fillId="9" borderId="16" xfId="0" applyNumberFormat="1" applyFont="1" applyFill="1" applyBorder="1" applyAlignment="1">
      <alignment horizontal="center" vertical="center" wrapText="1"/>
    </xf>
    <xf numFmtId="0" fontId="45" fillId="6" borderId="11" xfId="0" applyFont="1" applyFill="1" applyBorder="1" applyAlignment="1">
      <alignment horizontal="center" vertical="center" wrapText="1"/>
    </xf>
    <xf numFmtId="0" fontId="45" fillId="6" borderId="12" xfId="0" applyFont="1" applyFill="1" applyBorder="1" applyAlignment="1">
      <alignment horizontal="center" vertical="center" wrapText="1"/>
    </xf>
    <xf numFmtId="0" fontId="45" fillId="6" borderId="13" xfId="0" applyFont="1" applyFill="1" applyBorder="1" applyAlignment="1">
      <alignment horizontal="center" vertical="center" wrapText="1"/>
    </xf>
    <xf numFmtId="49" fontId="9" fillId="6" borderId="14" xfId="0" applyNumberFormat="1" applyFont="1" applyFill="1" applyBorder="1" applyAlignment="1">
      <alignment horizontal="center" vertical="center" wrapText="1"/>
    </xf>
    <xf numFmtId="49" fontId="9" fillId="6" borderId="15" xfId="0" applyNumberFormat="1" applyFont="1" applyFill="1" applyBorder="1" applyAlignment="1">
      <alignment horizontal="center" vertical="center" wrapText="1"/>
    </xf>
    <xf numFmtId="49" fontId="9" fillId="6" borderId="16" xfId="0" applyNumberFormat="1" applyFont="1" applyFill="1" applyBorder="1" applyAlignment="1">
      <alignment horizontal="center" vertical="center" wrapText="1"/>
    </xf>
    <xf numFmtId="49" fontId="9" fillId="10" borderId="14" xfId="0" applyNumberFormat="1" applyFont="1" applyFill="1" applyBorder="1" applyAlignment="1">
      <alignment horizontal="center" vertical="center" wrapText="1"/>
    </xf>
    <xf numFmtId="49" fontId="9" fillId="10" borderId="15" xfId="0" applyNumberFormat="1" applyFont="1" applyFill="1" applyBorder="1" applyAlignment="1">
      <alignment horizontal="center" vertical="center" wrapText="1"/>
    </xf>
    <xf numFmtId="49" fontId="9" fillId="10" borderId="16" xfId="0" applyNumberFormat="1" applyFont="1" applyFill="1" applyBorder="1" applyAlignment="1">
      <alignment horizontal="center" vertical="center" wrapText="1"/>
    </xf>
    <xf numFmtId="0" fontId="45" fillId="10" borderId="11" xfId="0" applyFont="1" applyFill="1" applyBorder="1" applyAlignment="1">
      <alignment horizontal="center" vertical="center" wrapText="1"/>
    </xf>
    <xf numFmtId="0" fontId="45" fillId="10" borderId="12"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45" fillId="9" borderId="6" xfId="0" applyFont="1" applyFill="1" applyBorder="1" applyAlignment="1">
      <alignment horizontal="center" vertical="center" wrapText="1"/>
    </xf>
    <xf numFmtId="49" fontId="45" fillId="6" borderId="11" xfId="0" applyNumberFormat="1" applyFont="1" applyFill="1" applyBorder="1" applyAlignment="1">
      <alignment horizontal="center" vertical="center" wrapText="1"/>
    </xf>
    <xf numFmtId="49" fontId="45" fillId="6" borderId="12" xfId="0" applyNumberFormat="1" applyFont="1" applyFill="1" applyBorder="1" applyAlignment="1">
      <alignment horizontal="center" vertical="center" wrapText="1"/>
    </xf>
    <xf numFmtId="49" fontId="45" fillId="6" borderId="13" xfId="0" applyNumberFormat="1" applyFont="1" applyFill="1" applyBorder="1" applyAlignment="1">
      <alignment horizontal="center" vertical="center" wrapText="1"/>
    </xf>
    <xf numFmtId="49" fontId="45" fillId="10" borderId="11" xfId="0" applyNumberFormat="1" applyFont="1" applyFill="1" applyBorder="1" applyAlignment="1">
      <alignment horizontal="center" vertical="center" wrapText="1"/>
    </xf>
    <xf numFmtId="49" fontId="45" fillId="10" borderId="12" xfId="0" applyNumberFormat="1" applyFont="1" applyFill="1" applyBorder="1" applyAlignment="1">
      <alignment horizontal="center" vertical="center" wrapText="1"/>
    </xf>
    <xf numFmtId="49" fontId="45" fillId="10" borderId="13" xfId="0" applyNumberFormat="1" applyFont="1" applyFill="1" applyBorder="1" applyAlignment="1">
      <alignment horizontal="center" vertical="center" wrapText="1"/>
    </xf>
    <xf numFmtId="49" fontId="45" fillId="2" borderId="11" xfId="0" applyNumberFormat="1" applyFont="1" applyFill="1" applyBorder="1" applyAlignment="1">
      <alignment horizontal="center" vertical="center" wrapText="1"/>
    </xf>
    <xf numFmtId="49" fontId="45" fillId="2" borderId="12" xfId="0" applyNumberFormat="1" applyFont="1" applyFill="1" applyBorder="1" applyAlignment="1">
      <alignment horizontal="center" vertical="center" wrapText="1"/>
    </xf>
    <xf numFmtId="49" fontId="45" fillId="2" borderId="13" xfId="0" applyNumberFormat="1" applyFont="1" applyFill="1" applyBorder="1" applyAlignment="1">
      <alignment horizontal="center" vertical="center" wrapText="1"/>
    </xf>
    <xf numFmtId="49" fontId="45" fillId="11" borderId="11" xfId="0" applyNumberFormat="1" applyFont="1" applyFill="1" applyBorder="1" applyAlignment="1">
      <alignment horizontal="center" vertical="center" wrapText="1"/>
    </xf>
    <xf numFmtId="49" fontId="45" fillId="11" borderId="12" xfId="0" applyNumberFormat="1" applyFont="1" applyFill="1" applyBorder="1" applyAlignment="1">
      <alignment horizontal="center" vertical="center" wrapText="1"/>
    </xf>
    <xf numFmtId="49" fontId="45" fillId="11" borderId="13" xfId="0" applyNumberFormat="1" applyFont="1" applyFill="1" applyBorder="1" applyAlignment="1">
      <alignment horizontal="center" vertical="center" wrapText="1"/>
    </xf>
    <xf numFmtId="49" fontId="45" fillId="9" borderId="11" xfId="0" applyNumberFormat="1" applyFont="1" applyFill="1" applyBorder="1" applyAlignment="1">
      <alignment horizontal="center" vertical="center" wrapText="1"/>
    </xf>
    <xf numFmtId="49" fontId="45" fillId="9" borderId="12" xfId="0" applyNumberFormat="1" applyFont="1" applyFill="1" applyBorder="1" applyAlignment="1">
      <alignment horizontal="center" vertical="center" wrapText="1"/>
    </xf>
    <xf numFmtId="49" fontId="45" fillId="9" borderId="13" xfId="0" applyNumberFormat="1" applyFont="1" applyFill="1" applyBorder="1" applyAlignment="1">
      <alignment horizontal="center" vertical="center" wrapText="1"/>
    </xf>
    <xf numFmtId="49" fontId="45" fillId="10" borderId="3" xfId="0" applyNumberFormat="1" applyFont="1" applyFill="1" applyBorder="1" applyAlignment="1">
      <alignment horizontal="center" vertical="center" wrapText="1"/>
    </xf>
    <xf numFmtId="0" fontId="45" fillId="10" borderId="3" xfId="0" applyFont="1" applyFill="1" applyBorder="1" applyAlignment="1">
      <alignment horizontal="center" vertical="center" wrapText="1"/>
    </xf>
    <xf numFmtId="49" fontId="45" fillId="10" borderId="15" xfId="0" applyNumberFormat="1" applyFont="1" applyFill="1" applyBorder="1" applyAlignment="1">
      <alignment horizontal="center" vertical="center" wrapText="1"/>
    </xf>
    <xf numFmtId="49" fontId="45" fillId="2" borderId="14" xfId="0" applyNumberFormat="1" applyFont="1" applyFill="1" applyBorder="1" applyAlignment="1">
      <alignment horizontal="center" vertical="center" wrapText="1"/>
    </xf>
    <xf numFmtId="49" fontId="45" fillId="2" borderId="15" xfId="0" applyNumberFormat="1" applyFont="1" applyFill="1" applyBorder="1" applyAlignment="1">
      <alignment horizontal="center" vertical="center" wrapText="1"/>
    </xf>
    <xf numFmtId="49" fontId="45" fillId="2" borderId="16" xfId="0" applyNumberFormat="1" applyFont="1" applyFill="1" applyBorder="1" applyAlignment="1">
      <alignment horizontal="center" vertical="center" wrapText="1"/>
    </xf>
    <xf numFmtId="0" fontId="45" fillId="2" borderId="11"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5" fillId="2" borderId="13" xfId="0" applyFont="1" applyFill="1" applyBorder="1" applyAlignment="1">
      <alignment horizontal="center" vertical="center" wrapText="1"/>
    </xf>
    <xf numFmtId="0" fontId="7" fillId="2" borderId="2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5" xfId="0" applyFont="1" applyFill="1" applyBorder="1" applyAlignment="1">
      <alignment horizontal="center" vertical="center"/>
    </xf>
    <xf numFmtId="0" fontId="20" fillId="3" borderId="32" xfId="2" applyFont="1" applyFill="1" applyBorder="1" applyAlignment="1">
      <alignment horizontal="center" vertical="center" wrapText="1"/>
    </xf>
    <xf numFmtId="0" fontId="20" fillId="3" borderId="33" xfId="2" applyFont="1" applyFill="1" applyBorder="1" applyAlignment="1">
      <alignment horizontal="center" vertical="center" wrapText="1"/>
    </xf>
    <xf numFmtId="0" fontId="24" fillId="6" borderId="14" xfId="0" applyFont="1" applyFill="1" applyBorder="1" applyAlignment="1">
      <alignment horizontal="center" vertical="center" textRotation="90" wrapText="1"/>
    </xf>
    <xf numFmtId="0" fontId="24" fillId="6" borderId="15" xfId="0" applyFont="1" applyFill="1" applyBorder="1" applyAlignment="1">
      <alignment horizontal="center" vertical="center" textRotation="90" wrapText="1"/>
    </xf>
    <xf numFmtId="0" fontId="24" fillId="6" borderId="16" xfId="0" applyFont="1" applyFill="1" applyBorder="1" applyAlignment="1">
      <alignment horizontal="center" vertical="center" textRotation="90" wrapText="1"/>
    </xf>
    <xf numFmtId="0" fontId="20" fillId="2" borderId="37" xfId="2" applyFont="1" applyFill="1" applyBorder="1" applyAlignment="1">
      <alignment horizontal="center" vertical="center" wrapText="1"/>
    </xf>
    <xf numFmtId="0" fontId="20" fillId="2" borderId="83" xfId="2" applyFont="1" applyFill="1" applyBorder="1" applyAlignment="1">
      <alignment horizontal="center" vertical="center" wrapText="1"/>
    </xf>
    <xf numFmtId="0" fontId="20" fillId="2" borderId="38" xfId="2" applyFont="1" applyFill="1" applyBorder="1" applyAlignment="1">
      <alignment horizontal="center" vertical="center" wrapText="1"/>
    </xf>
    <xf numFmtId="0" fontId="20" fillId="2" borderId="39" xfId="2" applyFont="1" applyFill="1" applyBorder="1" applyAlignment="1">
      <alignment horizontal="center" vertical="center" wrapText="1"/>
    </xf>
    <xf numFmtId="0" fontId="20" fillId="2" borderId="40" xfId="2" applyFont="1" applyFill="1" applyBorder="1" applyAlignment="1">
      <alignment horizontal="center" vertical="center" wrapText="1"/>
    </xf>
    <xf numFmtId="0" fontId="20" fillId="2" borderId="42" xfId="2" applyFont="1" applyFill="1" applyBorder="1" applyAlignment="1">
      <alignment horizontal="center" vertical="center" wrapText="1"/>
    </xf>
    <xf numFmtId="0" fontId="20" fillId="2" borderId="41" xfId="2" applyFont="1" applyFill="1" applyBorder="1" applyAlignment="1">
      <alignment horizontal="center" vertical="center" wrapText="1"/>
    </xf>
    <xf numFmtId="0" fontId="20" fillId="2" borderId="43" xfId="2" applyFont="1" applyFill="1" applyBorder="1" applyAlignment="1">
      <alignment horizontal="center" vertical="center" wrapText="1"/>
    </xf>
    <xf numFmtId="9" fontId="42" fillId="0" borderId="87" xfId="0" applyNumberFormat="1" applyFont="1" applyBorder="1" applyAlignment="1" applyProtection="1">
      <alignment horizontal="center" vertical="center"/>
      <protection hidden="1"/>
    </xf>
    <xf numFmtId="9" fontId="42" fillId="0" borderId="88" xfId="0" applyNumberFormat="1" applyFont="1" applyBorder="1" applyAlignment="1" applyProtection="1">
      <alignment horizontal="center" vertical="center"/>
      <protection hidden="1"/>
    </xf>
    <xf numFmtId="9" fontId="29" fillId="7" borderId="84" xfId="1" applyFont="1" applyFill="1" applyBorder="1" applyAlignment="1" applyProtection="1">
      <alignment horizontal="center" vertical="center"/>
      <protection hidden="1"/>
    </xf>
    <xf numFmtId="9" fontId="29" fillId="7" borderId="85" xfId="1" applyFont="1" applyFill="1" applyBorder="1" applyAlignment="1" applyProtection="1">
      <alignment horizontal="center" vertical="center"/>
      <protection hidden="1"/>
    </xf>
    <xf numFmtId="9" fontId="29" fillId="7" borderId="86" xfId="1" applyFont="1" applyFill="1" applyBorder="1" applyAlignment="1" applyProtection="1">
      <alignment horizontal="center" vertical="center"/>
      <protection hidden="1"/>
    </xf>
    <xf numFmtId="0" fontId="28" fillId="9" borderId="14" xfId="0" applyFont="1" applyFill="1" applyBorder="1" applyAlignment="1">
      <alignment horizontal="center" vertical="center" textRotation="90"/>
    </xf>
    <xf numFmtId="0" fontId="28" fillId="9" borderId="15" xfId="0" applyFont="1" applyFill="1" applyBorder="1" applyAlignment="1">
      <alignment horizontal="center" vertical="center" textRotation="90"/>
    </xf>
    <xf numFmtId="0" fontId="28" fillId="9" borderId="16" xfId="0" applyFont="1" applyFill="1" applyBorder="1" applyAlignment="1">
      <alignment horizontal="center" vertical="center" textRotation="90"/>
    </xf>
    <xf numFmtId="9" fontId="42" fillId="4" borderId="87" xfId="0" applyNumberFormat="1" applyFont="1" applyFill="1" applyBorder="1" applyAlignment="1" applyProtection="1">
      <alignment horizontal="center" vertical="center"/>
      <protection hidden="1"/>
    </xf>
    <xf numFmtId="9" fontId="42" fillId="4" borderId="88" xfId="0" applyNumberFormat="1" applyFont="1" applyFill="1" applyBorder="1" applyAlignment="1" applyProtection="1">
      <alignment horizontal="center" vertical="center"/>
      <protection hidden="1"/>
    </xf>
    <xf numFmtId="9" fontId="42" fillId="4" borderId="89" xfId="0" applyNumberFormat="1" applyFont="1" applyFill="1" applyBorder="1" applyAlignment="1" applyProtection="1">
      <alignment horizontal="center" vertical="center"/>
      <protection hidden="1"/>
    </xf>
    <xf numFmtId="0" fontId="28" fillId="11" borderId="15" xfId="0" applyFont="1" applyFill="1" applyBorder="1" applyAlignment="1">
      <alignment horizontal="center" vertical="center" textRotation="90"/>
    </xf>
    <xf numFmtId="0" fontId="28" fillId="2" borderId="14" xfId="0" applyFont="1" applyFill="1" applyBorder="1" applyAlignment="1">
      <alignment horizontal="center" vertical="center" textRotation="90"/>
    </xf>
    <xf numFmtId="0" fontId="28" fillId="2" borderId="15" xfId="0" applyFont="1" applyFill="1" applyBorder="1" applyAlignment="1">
      <alignment horizontal="center" vertical="center" textRotation="90"/>
    </xf>
    <xf numFmtId="0" fontId="28" fillId="2" borderId="16" xfId="0" applyFont="1" applyFill="1" applyBorder="1" applyAlignment="1">
      <alignment horizontal="center" vertical="center" textRotation="90"/>
    </xf>
    <xf numFmtId="9" fontId="42" fillId="0" borderId="89" xfId="0" applyNumberFormat="1" applyFont="1" applyBorder="1" applyAlignment="1" applyProtection="1">
      <alignment horizontal="center" vertical="center"/>
      <protection hidden="1"/>
    </xf>
    <xf numFmtId="0" fontId="28" fillId="10" borderId="14" xfId="0" applyFont="1" applyFill="1" applyBorder="1" applyAlignment="1">
      <alignment horizontal="center" vertical="center" textRotation="90"/>
    </xf>
    <xf numFmtId="0" fontId="28" fillId="10" borderId="15" xfId="0" applyFont="1" applyFill="1" applyBorder="1" applyAlignment="1">
      <alignment horizontal="center" vertical="center" textRotation="90"/>
    </xf>
    <xf numFmtId="0" fontId="58" fillId="0" borderId="24" xfId="0" applyFont="1" applyBorder="1" applyAlignment="1" applyProtection="1">
      <alignment horizontal="left" vertical="center" wrapText="1"/>
      <protection locked="0"/>
    </xf>
    <xf numFmtId="0" fontId="58" fillId="0" borderId="1" xfId="0" applyFont="1" applyBorder="1" applyAlignment="1" applyProtection="1">
      <alignment horizontal="left" vertical="center" wrapText="1"/>
      <protection locked="0"/>
    </xf>
    <xf numFmtId="0" fontId="58" fillId="0" borderId="25" xfId="0" applyFont="1" applyBorder="1" applyAlignment="1" applyProtection="1">
      <alignment horizontal="left" vertical="center" wrapText="1"/>
      <protection locked="0"/>
    </xf>
    <xf numFmtId="0" fontId="53" fillId="12" borderId="0" xfId="0" applyFont="1" applyFill="1" applyAlignment="1">
      <alignment horizontal="center" vertical="center" wrapText="1"/>
    </xf>
    <xf numFmtId="0" fontId="0" fillId="0" borderId="73" xfId="0" applyBorder="1" applyAlignment="1">
      <alignment horizontal="center"/>
    </xf>
    <xf numFmtId="0" fontId="0" fillId="0" borderId="1" xfId="0" applyBorder="1" applyAlignment="1">
      <alignment horizontal="center"/>
    </xf>
    <xf numFmtId="49" fontId="50" fillId="4" borderId="91" xfId="0" applyNumberFormat="1" applyFont="1" applyFill="1" applyBorder="1" applyAlignment="1">
      <alignment horizontal="left" vertical="center" wrapText="1"/>
    </xf>
    <xf numFmtId="49" fontId="50" fillId="4" borderId="3" xfId="0" applyNumberFormat="1" applyFont="1" applyFill="1" applyBorder="1" applyAlignment="1">
      <alignment horizontal="left" vertical="center" wrapText="1"/>
    </xf>
    <xf numFmtId="49" fontId="50" fillId="4" borderId="92" xfId="0" applyNumberFormat="1" applyFont="1" applyFill="1" applyBorder="1" applyAlignment="1">
      <alignment horizontal="left" vertical="center" wrapText="1"/>
    </xf>
    <xf numFmtId="49" fontId="50" fillId="4" borderId="4" xfId="0" applyNumberFormat="1" applyFont="1" applyFill="1" applyBorder="1" applyAlignment="1">
      <alignment horizontal="left" vertical="center" wrapText="1"/>
    </xf>
    <xf numFmtId="0" fontId="52" fillId="2" borderId="7"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7" fillId="4" borderId="3" xfId="0" applyFont="1" applyFill="1" applyBorder="1" applyAlignment="1" applyProtection="1">
      <alignment horizontal="center" vertical="center"/>
      <protection locked="0"/>
    </xf>
    <xf numFmtId="164" fontId="57" fillId="4" borderId="22" xfId="0" applyNumberFormat="1" applyFont="1" applyFill="1" applyBorder="1" applyAlignment="1" applyProtection="1">
      <alignment horizontal="center" vertical="center"/>
      <protection locked="0"/>
    </xf>
    <xf numFmtId="164" fontId="57" fillId="4" borderId="23" xfId="0" applyNumberFormat="1" applyFont="1" applyFill="1" applyBorder="1" applyAlignment="1" applyProtection="1">
      <alignment horizontal="center" vertical="center"/>
      <protection locked="0"/>
    </xf>
    <xf numFmtId="164" fontId="57" fillId="4" borderId="9" xfId="0" applyNumberFormat="1" applyFont="1" applyFill="1" applyBorder="1" applyAlignment="1" applyProtection="1">
      <alignment horizontal="center" vertical="center"/>
      <protection locked="0"/>
    </xf>
    <xf numFmtId="0" fontId="53" fillId="2" borderId="24"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3" fillId="2" borderId="25"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49" fontId="50" fillId="4" borderId="90" xfId="0" applyNumberFormat="1" applyFont="1" applyFill="1" applyBorder="1" applyAlignment="1">
      <alignment horizontal="left" vertical="center" wrapText="1"/>
    </xf>
    <xf numFmtId="49" fontId="50" fillId="4" borderId="2" xfId="0" applyNumberFormat="1" applyFont="1" applyFill="1" applyBorder="1" applyAlignment="1">
      <alignment horizontal="left" vertical="center" wrapText="1"/>
    </xf>
    <xf numFmtId="49" fontId="59" fillId="4" borderId="2" xfId="0" applyNumberFormat="1" applyFont="1" applyFill="1" applyBorder="1" applyAlignment="1" applyProtection="1">
      <alignment horizontal="left" vertical="top" wrapText="1"/>
      <protection locked="0"/>
    </xf>
    <xf numFmtId="49" fontId="59" fillId="4" borderId="84" xfId="0" applyNumberFormat="1" applyFont="1" applyFill="1" applyBorder="1" applyAlignment="1" applyProtection="1">
      <alignment horizontal="left" vertical="top" wrapText="1"/>
      <protection locked="0"/>
    </xf>
    <xf numFmtId="49" fontId="59" fillId="4" borderId="3" xfId="0" applyNumberFormat="1" applyFont="1" applyFill="1" applyBorder="1" applyAlignment="1" applyProtection="1">
      <alignment horizontal="left" vertical="top" wrapText="1"/>
      <protection locked="0"/>
    </xf>
    <xf numFmtId="49" fontId="59" fillId="4" borderId="85" xfId="0" applyNumberFormat="1" applyFont="1" applyFill="1" applyBorder="1" applyAlignment="1" applyProtection="1">
      <alignment horizontal="left" vertical="top" wrapText="1"/>
      <protection locked="0"/>
    </xf>
    <xf numFmtId="49" fontId="59" fillId="4" borderId="4" xfId="0" applyNumberFormat="1" applyFont="1" applyFill="1" applyBorder="1" applyAlignment="1" applyProtection="1">
      <alignment horizontal="left" vertical="top" wrapText="1"/>
      <protection locked="0"/>
    </xf>
    <xf numFmtId="49" fontId="59" fillId="4" borderId="86" xfId="0" applyNumberFormat="1" applyFont="1" applyFill="1" applyBorder="1" applyAlignment="1" applyProtection="1">
      <alignment horizontal="left" vertical="top" wrapText="1"/>
      <protection locked="0"/>
    </xf>
    <xf numFmtId="49" fontId="1" fillId="4" borderId="2" xfId="0" applyNumberFormat="1" applyFont="1" applyFill="1" applyBorder="1" applyAlignment="1" applyProtection="1">
      <alignment horizontal="left" vertical="top" wrapText="1"/>
      <protection locked="0"/>
    </xf>
    <xf numFmtId="49" fontId="1" fillId="4" borderId="3"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ejia/Library/Containers/com.microsoft.Excel/Data/Documents/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zoomScale="90" zoomScaleNormal="90" workbookViewId="0">
      <selection activeCell="E11" sqref="E11:F11"/>
    </sheetView>
  </sheetViews>
  <sheetFormatPr baseColWidth="10" defaultColWidth="0" defaultRowHeight="13" zeroHeight="1" x14ac:dyDescent="0.15"/>
  <cols>
    <col min="1" max="1" width="3.83203125" style="42" customWidth="1"/>
    <col min="2" max="2" width="15.33203125" style="42" customWidth="1"/>
    <col min="3" max="3" width="17.33203125" style="42" customWidth="1"/>
    <col min="4" max="4" width="28.5" style="42" customWidth="1"/>
    <col min="5" max="5" width="12.83203125" style="42" customWidth="1"/>
    <col min="6" max="6" width="47.1640625" style="42" customWidth="1"/>
    <col min="7" max="7" width="21.5" style="42" customWidth="1"/>
    <col min="8" max="8" width="6.5" style="42" customWidth="1"/>
    <col min="9" max="9" width="2.5" style="42" customWidth="1"/>
    <col min="10" max="16384" width="11.5" style="42" hidden="1"/>
  </cols>
  <sheetData>
    <row r="1" spans="2:8" ht="14" thickBot="1" x14ac:dyDescent="0.2"/>
    <row r="2" spans="2:8" ht="73.5" customHeight="1" x14ac:dyDescent="0.15">
      <c r="B2" s="187" t="s">
        <v>0</v>
      </c>
      <c r="C2" s="188"/>
      <c r="D2" s="188"/>
      <c r="E2" s="188"/>
      <c r="F2" s="188"/>
      <c r="G2" s="188"/>
      <c r="H2" s="189"/>
    </row>
    <row r="3" spans="2:8" ht="65.25" customHeight="1" x14ac:dyDescent="0.15">
      <c r="B3" s="190" t="s">
        <v>1</v>
      </c>
      <c r="C3" s="191"/>
      <c r="D3" s="191"/>
      <c r="E3" s="191"/>
      <c r="F3" s="191"/>
      <c r="G3" s="191"/>
      <c r="H3" s="192"/>
    </row>
    <row r="4" spans="2:8" ht="82.5" customHeight="1" x14ac:dyDescent="0.15">
      <c r="B4" s="190"/>
      <c r="C4" s="191"/>
      <c r="D4" s="191"/>
      <c r="E4" s="191"/>
      <c r="F4" s="191"/>
      <c r="G4" s="191"/>
      <c r="H4" s="192"/>
    </row>
    <row r="5" spans="2:8" ht="21.75" customHeight="1" x14ac:dyDescent="0.15">
      <c r="B5" s="193" t="s">
        <v>2</v>
      </c>
      <c r="C5" s="194"/>
      <c r="D5" s="194"/>
      <c r="E5" s="194"/>
      <c r="F5" s="194"/>
      <c r="G5" s="194"/>
      <c r="H5" s="195"/>
    </row>
    <row r="6" spans="2:8" ht="42" customHeight="1" x14ac:dyDescent="0.15">
      <c r="B6" s="196" t="s">
        <v>3</v>
      </c>
      <c r="C6" s="197"/>
      <c r="D6" s="197"/>
      <c r="E6" s="197"/>
      <c r="F6" s="197"/>
      <c r="G6" s="197"/>
      <c r="H6" s="198"/>
    </row>
    <row r="7" spans="2:8" ht="14.25" customHeight="1" x14ac:dyDescent="0.15">
      <c r="B7" s="196"/>
      <c r="C7" s="197"/>
      <c r="D7" s="197"/>
      <c r="E7" s="197"/>
      <c r="F7" s="197"/>
      <c r="G7" s="197"/>
      <c r="H7" s="198"/>
    </row>
    <row r="8" spans="2:8" ht="12.75" customHeight="1" thickBot="1" x14ac:dyDescent="0.2">
      <c r="B8" s="54"/>
      <c r="C8" s="48"/>
      <c r="D8" s="63"/>
      <c r="E8" s="64"/>
      <c r="F8" s="64"/>
      <c r="G8" s="62"/>
      <c r="H8" s="56"/>
    </row>
    <row r="9" spans="2:8" ht="21" customHeight="1" thickTop="1" x14ac:dyDescent="0.15">
      <c r="B9" s="54"/>
      <c r="C9" s="199" t="s">
        <v>4</v>
      </c>
      <c r="D9" s="200"/>
      <c r="E9" s="201" t="s">
        <v>5</v>
      </c>
      <c r="F9" s="202"/>
      <c r="G9" s="48"/>
      <c r="H9" s="56"/>
    </row>
    <row r="10" spans="2:8" ht="37.5" customHeight="1" x14ac:dyDescent="0.15">
      <c r="B10" s="54"/>
      <c r="C10" s="179" t="s">
        <v>6</v>
      </c>
      <c r="D10" s="180"/>
      <c r="E10" s="181" t="s">
        <v>7</v>
      </c>
      <c r="F10" s="182"/>
      <c r="G10" s="48"/>
      <c r="H10" s="56"/>
    </row>
    <row r="11" spans="2:8" ht="39.75" customHeight="1" x14ac:dyDescent="0.15">
      <c r="B11" s="54"/>
      <c r="C11" s="183" t="s">
        <v>8</v>
      </c>
      <c r="D11" s="184"/>
      <c r="E11" s="160" t="s">
        <v>9</v>
      </c>
      <c r="F11" s="161"/>
      <c r="G11" s="48"/>
      <c r="H11" s="56"/>
    </row>
    <row r="12" spans="2:8" ht="59.25" customHeight="1" x14ac:dyDescent="0.15">
      <c r="B12" s="54"/>
      <c r="C12" s="183" t="s">
        <v>10</v>
      </c>
      <c r="D12" s="184"/>
      <c r="E12" s="185" t="s">
        <v>11</v>
      </c>
      <c r="F12" s="186"/>
      <c r="G12" s="48"/>
      <c r="H12" s="56"/>
    </row>
    <row r="13" spans="2:8" ht="33.75" customHeight="1" x14ac:dyDescent="0.15">
      <c r="B13" s="54"/>
      <c r="C13" s="158" t="s">
        <v>12</v>
      </c>
      <c r="D13" s="159"/>
      <c r="E13" s="160" t="s">
        <v>13</v>
      </c>
      <c r="F13" s="161"/>
      <c r="G13" s="48"/>
      <c r="H13" s="56"/>
    </row>
    <row r="14" spans="2:8" ht="19.5" customHeight="1" x14ac:dyDescent="0.15">
      <c r="B14" s="54"/>
      <c r="C14" s="60"/>
      <c r="D14" s="60"/>
      <c r="E14" s="61"/>
      <c r="F14" s="61"/>
      <c r="G14" s="48"/>
      <c r="H14" s="56"/>
    </row>
    <row r="15" spans="2:8" ht="37.5" customHeight="1" thickBot="1" x14ac:dyDescent="0.2">
      <c r="B15" s="154" t="s">
        <v>14</v>
      </c>
      <c r="C15" s="155"/>
      <c r="D15" s="155"/>
      <c r="E15" s="155"/>
      <c r="F15" s="155"/>
      <c r="G15" s="155"/>
      <c r="H15" s="156"/>
    </row>
    <row r="16" spans="2:8" ht="27.75" customHeight="1" thickBot="1" x14ac:dyDescent="0.2">
      <c r="B16" s="54"/>
      <c r="C16" s="162" t="s">
        <v>15</v>
      </c>
      <c r="D16" s="163"/>
      <c r="E16" s="163" t="s">
        <v>16</v>
      </c>
      <c r="F16" s="174"/>
      <c r="G16" s="48"/>
      <c r="H16" s="56"/>
    </row>
    <row r="17" spans="2:8" ht="27.75" customHeight="1" x14ac:dyDescent="0.15">
      <c r="B17" s="54"/>
      <c r="C17" s="175" t="s">
        <v>17</v>
      </c>
      <c r="D17" s="176"/>
      <c r="E17" s="177" t="s">
        <v>18</v>
      </c>
      <c r="F17" s="178"/>
      <c r="G17" s="92"/>
      <c r="H17" s="56"/>
    </row>
    <row r="18" spans="2:8" ht="41.25" customHeight="1" x14ac:dyDescent="0.15">
      <c r="B18" s="54"/>
      <c r="C18" s="164" t="s">
        <v>19</v>
      </c>
      <c r="D18" s="165"/>
      <c r="E18" s="166" t="s">
        <v>20</v>
      </c>
      <c r="F18" s="167"/>
      <c r="G18" s="93"/>
      <c r="H18" s="56"/>
    </row>
    <row r="19" spans="2:8" ht="37.5" customHeight="1" thickBot="1" x14ac:dyDescent="0.2">
      <c r="B19" s="54"/>
      <c r="C19" s="168" t="s">
        <v>21</v>
      </c>
      <c r="D19" s="169"/>
      <c r="E19" s="170" t="s">
        <v>22</v>
      </c>
      <c r="F19" s="171"/>
      <c r="G19" s="93"/>
      <c r="H19" s="56"/>
    </row>
    <row r="20" spans="2:8" ht="11.25" customHeight="1" x14ac:dyDescent="0.15">
      <c r="B20" s="49"/>
      <c r="C20" s="50"/>
      <c r="D20" s="50"/>
      <c r="E20" s="50"/>
      <c r="F20" s="50"/>
      <c r="G20" s="50"/>
      <c r="H20" s="51"/>
    </row>
    <row r="21" spans="2:8" ht="14.25" customHeight="1" x14ac:dyDescent="0.15">
      <c r="B21" s="52"/>
      <c r="C21" s="172"/>
      <c r="D21" s="172"/>
      <c r="E21" s="173"/>
      <c r="F21" s="173"/>
      <c r="G21" s="173"/>
      <c r="H21" s="53"/>
    </row>
    <row r="22" spans="2:8" ht="36" customHeight="1" x14ac:dyDescent="0.15">
      <c r="B22" s="154" t="s">
        <v>23</v>
      </c>
      <c r="C22" s="155"/>
      <c r="D22" s="155"/>
      <c r="E22" s="155"/>
      <c r="F22" s="155"/>
      <c r="G22" s="155"/>
      <c r="H22" s="156"/>
    </row>
    <row r="23" spans="2:8" x14ac:dyDescent="0.15">
      <c r="B23" s="54"/>
      <c r="C23" s="55"/>
      <c r="D23" s="55"/>
      <c r="E23" s="157"/>
      <c r="F23" s="157"/>
      <c r="G23" s="48"/>
      <c r="H23" s="56"/>
    </row>
    <row r="24" spans="2:8" ht="14" thickBot="1" x14ac:dyDescent="0.2">
      <c r="B24" s="57"/>
      <c r="C24" s="58"/>
      <c r="D24" s="58"/>
      <c r="E24" s="58"/>
      <c r="F24" s="58"/>
      <c r="G24" s="58"/>
      <c r="H24" s="59"/>
    </row>
    <row r="25" spans="2:8" x14ac:dyDescent="0.15"/>
    <row r="26" spans="2:8" ht="29.25" customHeight="1" x14ac:dyDescent="0.15"/>
    <row r="27" spans="2:8" ht="26.25" customHeight="1" x14ac:dyDescent="0.15"/>
    <row r="28" spans="2:8" ht="43.5" customHeight="1" x14ac:dyDescent="0.15"/>
    <row r="29" spans="2:8" ht="53.25" customHeight="1" x14ac:dyDescent="0.15"/>
    <row r="30" spans="2:8" x14ac:dyDescent="0.15"/>
    <row r="31" spans="2:8" x14ac:dyDescent="0.15"/>
    <row r="32" spans="2:8" x14ac:dyDescent="0.15"/>
    <row r="33" x14ac:dyDescent="0.15"/>
    <row r="34" x14ac:dyDescent="0.15"/>
    <row r="35"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x14ac:dyDescent="0.15"/>
    <row r="52" x14ac:dyDescent="0.15"/>
    <row r="54" x14ac:dyDescent="0.15"/>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showGridLines="0" topLeftCell="C15" zoomScaleNormal="80" workbookViewId="0">
      <selection activeCell="I42" sqref="I42"/>
    </sheetView>
  </sheetViews>
  <sheetFormatPr baseColWidth="10" defaultColWidth="11.5" defaultRowHeight="16" x14ac:dyDescent="0.2"/>
  <cols>
    <col min="1" max="1" width="3" style="44" hidden="1" customWidth="1"/>
    <col min="2" max="2" width="9.5" style="44" customWidth="1"/>
    <col min="3" max="3" width="25.5" style="44" customWidth="1"/>
    <col min="4" max="4" width="46.5" style="44" customWidth="1"/>
    <col min="5" max="5" width="10.1640625" style="66" customWidth="1"/>
    <col min="6" max="6" width="44.5" style="66" customWidth="1"/>
    <col min="7" max="7" width="15.5" style="44" customWidth="1"/>
    <col min="8" max="8" width="79.83203125" style="150" customWidth="1"/>
    <col min="9" max="9" width="43" style="44" customWidth="1"/>
    <col min="10" max="12" width="11.5" style="69" customWidth="1"/>
    <col min="13" max="24" width="11.5" style="44" customWidth="1"/>
    <col min="25" max="16384" width="11.5" style="44"/>
  </cols>
  <sheetData>
    <row r="1" spans="1:32" x14ac:dyDescent="0.2">
      <c r="B1" s="43"/>
      <c r="C1" s="43"/>
      <c r="D1" s="43"/>
      <c r="E1" s="65"/>
      <c r="F1" s="65"/>
      <c r="G1" s="43"/>
      <c r="H1" s="145"/>
      <c r="I1" s="43"/>
      <c r="J1" s="67"/>
      <c r="K1" s="67"/>
      <c r="L1" s="67"/>
      <c r="M1" s="43"/>
      <c r="N1" s="43"/>
      <c r="O1" s="43"/>
      <c r="P1" s="43"/>
      <c r="Q1" s="43"/>
      <c r="R1" s="43"/>
      <c r="S1" s="43"/>
      <c r="T1" s="43"/>
      <c r="U1" s="43"/>
      <c r="V1" s="43"/>
      <c r="W1" s="43"/>
      <c r="X1" s="43"/>
    </row>
    <row r="2" spans="1:32" x14ac:dyDescent="0.2">
      <c r="B2" s="43"/>
      <c r="C2" s="43"/>
      <c r="D2" s="43"/>
      <c r="E2" s="65"/>
      <c r="F2" s="65"/>
      <c r="G2" s="43"/>
      <c r="H2" s="145"/>
      <c r="I2" s="43"/>
      <c r="J2" s="67"/>
      <c r="K2" s="67"/>
      <c r="L2" s="67"/>
      <c r="M2" s="43"/>
      <c r="N2" s="43"/>
      <c r="O2" s="43"/>
      <c r="P2" s="43"/>
      <c r="Q2" s="43"/>
      <c r="R2" s="43"/>
      <c r="S2" s="43"/>
      <c r="T2" s="43"/>
      <c r="U2" s="43"/>
      <c r="V2" s="43"/>
      <c r="W2" s="43"/>
      <c r="X2" s="43"/>
    </row>
    <row r="3" spans="1:32" x14ac:dyDescent="0.2">
      <c r="B3" s="43"/>
      <c r="C3" s="43"/>
      <c r="D3" s="43"/>
      <c r="E3" s="65"/>
      <c r="F3" s="65"/>
      <c r="G3" s="43"/>
      <c r="H3" s="145"/>
      <c r="I3" s="43"/>
      <c r="J3" s="67"/>
      <c r="K3" s="67"/>
      <c r="L3" s="67"/>
      <c r="M3" s="43"/>
      <c r="N3" s="43"/>
      <c r="O3" s="43"/>
      <c r="P3" s="43"/>
      <c r="Q3" s="43"/>
      <c r="R3" s="43"/>
      <c r="S3" s="43"/>
      <c r="T3" s="43"/>
      <c r="U3" s="43"/>
      <c r="V3" s="43"/>
      <c r="W3" s="43"/>
      <c r="X3" s="43"/>
    </row>
    <row r="4" spans="1:32" x14ac:dyDescent="0.2">
      <c r="B4" s="43"/>
      <c r="C4" s="43"/>
      <c r="D4" s="43"/>
      <c r="E4" s="65"/>
      <c r="F4" s="65"/>
      <c r="G4" s="43"/>
      <c r="H4" s="145"/>
      <c r="I4" s="43"/>
      <c r="J4" s="67"/>
      <c r="K4" s="67"/>
      <c r="L4" s="67"/>
      <c r="M4" s="43"/>
      <c r="N4" s="43"/>
      <c r="O4" s="43"/>
      <c r="P4" s="43"/>
      <c r="Q4" s="43"/>
      <c r="R4" s="43"/>
      <c r="S4" s="43"/>
      <c r="T4" s="43"/>
      <c r="U4" s="43"/>
      <c r="V4" s="43"/>
      <c r="W4" s="43"/>
      <c r="X4" s="43"/>
    </row>
    <row r="5" spans="1:32" x14ac:dyDescent="0.2">
      <c r="B5" s="43"/>
      <c r="C5" s="43"/>
      <c r="D5" s="43"/>
      <c r="E5" s="65"/>
      <c r="F5" s="65"/>
      <c r="G5" s="43"/>
      <c r="H5" s="145"/>
      <c r="I5" s="43"/>
      <c r="J5" s="67"/>
      <c r="K5" s="67"/>
      <c r="L5" s="67"/>
      <c r="M5" s="43"/>
      <c r="N5" s="43"/>
      <c r="O5" s="43"/>
      <c r="P5" s="43"/>
      <c r="Q5" s="43"/>
      <c r="R5" s="43"/>
      <c r="S5" s="43"/>
      <c r="T5" s="43"/>
      <c r="U5" s="43"/>
      <c r="V5" s="43"/>
      <c r="W5" s="43"/>
      <c r="X5" s="43"/>
    </row>
    <row r="6" spans="1:32" x14ac:dyDescent="0.2">
      <c r="B6" s="43"/>
      <c r="C6" s="43"/>
      <c r="D6" s="43"/>
      <c r="E6" s="65"/>
      <c r="F6" s="65"/>
      <c r="G6" s="43"/>
      <c r="H6" s="145"/>
      <c r="I6" s="43"/>
      <c r="J6" s="67"/>
      <c r="K6" s="67"/>
      <c r="L6" s="67"/>
      <c r="M6" s="43"/>
      <c r="N6" s="43"/>
      <c r="O6" s="43"/>
      <c r="P6" s="43"/>
      <c r="Q6" s="43"/>
      <c r="R6" s="43"/>
      <c r="S6" s="43"/>
      <c r="T6" s="43"/>
      <c r="U6" s="43"/>
      <c r="V6" s="43"/>
      <c r="W6" s="43"/>
      <c r="X6" s="43"/>
    </row>
    <row r="7" spans="1:32" x14ac:dyDescent="0.2">
      <c r="B7" s="43"/>
      <c r="C7" s="43"/>
      <c r="D7" s="43"/>
      <c r="E7" s="65"/>
      <c r="F7" s="65"/>
      <c r="G7" s="43"/>
      <c r="H7" s="145"/>
      <c r="I7" s="43"/>
      <c r="J7" s="67"/>
      <c r="K7" s="67"/>
      <c r="L7" s="67"/>
      <c r="M7" s="43"/>
      <c r="N7" s="43"/>
      <c r="O7" s="43"/>
      <c r="P7" s="43"/>
      <c r="Q7" s="43"/>
      <c r="R7" s="43"/>
      <c r="S7" s="43"/>
      <c r="T7" s="43"/>
      <c r="U7" s="43"/>
      <c r="V7" s="43"/>
      <c r="W7" s="43"/>
      <c r="X7" s="43"/>
    </row>
    <row r="8" spans="1:32" x14ac:dyDescent="0.2">
      <c r="B8" s="43"/>
      <c r="C8" s="43"/>
      <c r="D8" s="43"/>
      <c r="E8" s="65"/>
      <c r="F8" s="65"/>
      <c r="G8" s="43"/>
      <c r="H8" s="145"/>
      <c r="I8" s="43"/>
      <c r="J8" s="67"/>
      <c r="K8" s="67"/>
      <c r="L8" s="67"/>
      <c r="M8" s="43"/>
      <c r="N8" s="43"/>
      <c r="O8" s="43"/>
      <c r="P8" s="43"/>
      <c r="Q8" s="43"/>
      <c r="R8" s="43"/>
      <c r="S8" s="43"/>
      <c r="T8" s="43"/>
      <c r="U8" s="43"/>
      <c r="V8" s="43"/>
      <c r="W8" s="43"/>
      <c r="X8" s="43"/>
    </row>
    <row r="9" spans="1:32" x14ac:dyDescent="0.2">
      <c r="B9" s="43"/>
      <c r="C9" s="43"/>
      <c r="D9" s="43"/>
      <c r="E9" s="65"/>
      <c r="F9" s="65"/>
      <c r="G9" s="43"/>
      <c r="H9" s="145"/>
      <c r="I9" s="43"/>
      <c r="J9" s="67"/>
      <c r="K9" s="67"/>
      <c r="L9" s="67"/>
      <c r="M9" s="43"/>
      <c r="N9" s="43"/>
      <c r="O9" s="43"/>
      <c r="P9" s="43"/>
      <c r="Q9" s="43"/>
      <c r="R9" s="43"/>
      <c r="S9" s="43"/>
      <c r="T9" s="43"/>
      <c r="U9" s="43"/>
      <c r="V9" s="43"/>
      <c r="W9" s="43"/>
      <c r="X9" s="43"/>
    </row>
    <row r="10" spans="1:32" x14ac:dyDescent="0.2">
      <c r="B10" s="43"/>
      <c r="C10" s="43"/>
      <c r="D10" s="43"/>
      <c r="E10" s="65"/>
      <c r="F10" s="65"/>
      <c r="G10" s="43"/>
      <c r="H10" s="145"/>
      <c r="I10" s="43"/>
      <c r="J10" s="67"/>
      <c r="K10" s="67"/>
      <c r="L10" s="67"/>
      <c r="M10" s="43"/>
      <c r="N10" s="43"/>
      <c r="O10" s="43"/>
      <c r="P10" s="43"/>
      <c r="Q10" s="43"/>
      <c r="R10" s="43"/>
      <c r="S10" s="43"/>
      <c r="T10" s="43"/>
      <c r="U10" s="43"/>
      <c r="V10" s="43"/>
      <c r="W10" s="43"/>
      <c r="X10" s="43"/>
    </row>
    <row r="11" spans="1:32" x14ac:dyDescent="0.2">
      <c r="B11" s="43"/>
      <c r="C11" s="43"/>
      <c r="D11" s="43"/>
      <c r="E11" s="65"/>
      <c r="F11" s="65"/>
      <c r="G11" s="43"/>
      <c r="H11" s="145"/>
      <c r="I11" s="43"/>
      <c r="J11" s="67"/>
      <c r="K11" s="67"/>
      <c r="L11" s="67"/>
      <c r="M11" s="43"/>
      <c r="N11" s="43"/>
      <c r="O11" s="43"/>
      <c r="P11" s="43"/>
      <c r="Q11" s="43"/>
      <c r="R11" s="43"/>
      <c r="S11" s="43"/>
      <c r="T11" s="43"/>
      <c r="U11" s="43"/>
      <c r="V11" s="43"/>
      <c r="W11" s="43"/>
      <c r="X11" s="43"/>
    </row>
    <row r="12" spans="1:32" x14ac:dyDescent="0.2">
      <c r="B12" s="43"/>
      <c r="C12" s="43"/>
      <c r="D12" s="43"/>
      <c r="E12" s="65"/>
      <c r="F12" s="65"/>
      <c r="G12" s="43"/>
      <c r="H12" s="145"/>
      <c r="I12" s="43"/>
      <c r="J12" s="67"/>
      <c r="K12" s="67"/>
      <c r="L12" s="67"/>
      <c r="M12" s="43"/>
      <c r="N12" s="43"/>
      <c r="O12" s="43"/>
      <c r="P12" s="43"/>
      <c r="Q12" s="43"/>
      <c r="R12" s="43"/>
      <c r="S12" s="43"/>
      <c r="T12" s="43"/>
      <c r="U12" s="43"/>
      <c r="V12" s="43"/>
      <c r="W12" s="43"/>
      <c r="X12" s="43"/>
    </row>
    <row r="13" spans="1:32" x14ac:dyDescent="0.2">
      <c r="B13" s="43"/>
      <c r="C13" s="43"/>
      <c r="D13" s="43"/>
      <c r="E13" s="65"/>
      <c r="F13" s="65"/>
      <c r="G13" s="43"/>
      <c r="H13" s="145"/>
      <c r="I13" s="43"/>
      <c r="J13" s="67"/>
      <c r="K13" s="67"/>
      <c r="L13" s="67"/>
      <c r="M13" s="43"/>
      <c r="N13" s="43"/>
      <c r="O13" s="43"/>
      <c r="P13" s="43"/>
      <c r="Q13" s="43"/>
      <c r="R13" s="43"/>
      <c r="S13" s="43"/>
      <c r="T13" s="43"/>
      <c r="U13" s="43"/>
      <c r="V13" s="43"/>
      <c r="W13" s="43"/>
      <c r="X13" s="43"/>
    </row>
    <row r="14" spans="1:32" s="46" customFormat="1" ht="49.5" customHeight="1" x14ac:dyDescent="0.2">
      <c r="B14" s="203" t="s">
        <v>24</v>
      </c>
      <c r="C14" s="203"/>
      <c r="D14" s="203"/>
      <c r="E14" s="203"/>
      <c r="F14" s="203"/>
      <c r="G14" s="203"/>
      <c r="H14" s="203"/>
      <c r="I14" s="203"/>
      <c r="J14" s="68"/>
      <c r="K14" s="68"/>
      <c r="L14" s="68"/>
      <c r="M14" s="45"/>
      <c r="N14" s="45"/>
      <c r="O14" s="45"/>
      <c r="P14" s="45"/>
      <c r="Q14" s="45"/>
      <c r="R14" s="45"/>
      <c r="S14" s="45"/>
      <c r="T14" s="45"/>
      <c r="U14" s="45"/>
      <c r="V14" s="45"/>
      <c r="W14" s="45"/>
      <c r="X14" s="45"/>
      <c r="Y14" s="45"/>
      <c r="Z14" s="45"/>
      <c r="AA14" s="45"/>
      <c r="AB14" s="45"/>
      <c r="AC14" s="45"/>
      <c r="AD14" s="45"/>
      <c r="AE14" s="45"/>
      <c r="AF14" s="45"/>
    </row>
    <row r="15" spans="1:32" s="46" customFormat="1" ht="123.75" customHeight="1" thickBot="1" x14ac:dyDescent="0.25">
      <c r="B15" s="71" t="s">
        <v>25</v>
      </c>
      <c r="C15" s="71" t="s">
        <v>6</v>
      </c>
      <c r="D15" s="72" t="s">
        <v>8</v>
      </c>
      <c r="E15" s="73" t="s">
        <v>26</v>
      </c>
      <c r="F15" s="73" t="s">
        <v>27</v>
      </c>
      <c r="G15" s="73" t="s">
        <v>28</v>
      </c>
      <c r="H15" s="146" t="s">
        <v>29</v>
      </c>
      <c r="I15" s="73" t="s">
        <v>30</v>
      </c>
      <c r="J15" s="68"/>
      <c r="K15" s="68"/>
      <c r="L15" s="68"/>
      <c r="M15" s="45"/>
      <c r="N15" s="45"/>
      <c r="O15" s="45"/>
      <c r="P15" s="45"/>
      <c r="Q15" s="45"/>
      <c r="R15" s="45"/>
      <c r="S15" s="45"/>
      <c r="T15" s="45"/>
      <c r="U15" s="45"/>
      <c r="V15" s="45"/>
      <c r="W15" s="45"/>
      <c r="X15" s="45"/>
      <c r="Y15" s="45"/>
      <c r="Z15" s="45"/>
      <c r="AA15" s="45"/>
      <c r="AB15" s="45"/>
      <c r="AC15" s="45"/>
      <c r="AD15" s="45"/>
      <c r="AE15" s="45"/>
      <c r="AF15" s="45"/>
    </row>
    <row r="16" spans="1:32" s="46" customFormat="1" ht="71.25" customHeight="1" x14ac:dyDescent="0.2">
      <c r="A16" s="94" t="str">
        <f>1&amp;E16</f>
        <v>1a</v>
      </c>
      <c r="B16" s="219" t="s">
        <v>31</v>
      </c>
      <c r="C16" s="229" t="s">
        <v>32</v>
      </c>
      <c r="D16" s="216" t="s">
        <v>33</v>
      </c>
      <c r="E16" s="74" t="s">
        <v>34</v>
      </c>
      <c r="F16" s="75" t="s">
        <v>35</v>
      </c>
      <c r="G16" s="102" t="s">
        <v>36</v>
      </c>
      <c r="H16" s="147" t="s">
        <v>234</v>
      </c>
      <c r="I16" s="95" t="str">
        <f>+IF(G16="Si","Mantenimiento del control",IF(G16="En proceso","Oportunidad de mejora","Deficiencia de control"))</f>
        <v>Deficiencia de control</v>
      </c>
      <c r="J16" s="96">
        <f t="shared" ref="J16:J27" si="0">+IF(G16="Si",20,IF(G16="En proceso",10,0))</f>
        <v>0</v>
      </c>
      <c r="K16" s="96">
        <v>0.123</v>
      </c>
      <c r="L16" s="96">
        <f>+J16+K16</f>
        <v>0.123</v>
      </c>
    </row>
    <row r="17" spans="1:32" s="46" customFormat="1" ht="51" x14ac:dyDescent="0.2">
      <c r="A17" s="94" t="str">
        <f t="shared" ref="A17:A27" si="1">1&amp;E17</f>
        <v>1b</v>
      </c>
      <c r="B17" s="220"/>
      <c r="C17" s="230"/>
      <c r="D17" s="217"/>
      <c r="E17" s="76" t="s">
        <v>37</v>
      </c>
      <c r="F17" s="77" t="s">
        <v>38</v>
      </c>
      <c r="G17" s="103" t="s">
        <v>39</v>
      </c>
      <c r="H17" s="151" t="s">
        <v>40</v>
      </c>
      <c r="I17" s="97" t="str">
        <f t="shared" ref="I17:I59" si="2">+IF(G17="Si","Mantenimiento del control",IF(G17="En proceso","Oportunidad de mejora","Deficiencia de control"))</f>
        <v>Mantenimiento del control</v>
      </c>
      <c r="J17" s="98">
        <f t="shared" si="0"/>
        <v>20</v>
      </c>
      <c r="K17" s="96">
        <v>0.1234</v>
      </c>
      <c r="L17" s="96">
        <f t="shared" ref="L17:L59" si="3">+J17+K17</f>
        <v>20.1234</v>
      </c>
    </row>
    <row r="18" spans="1:32" s="46" customFormat="1" ht="68" x14ac:dyDescent="0.2">
      <c r="A18" s="94" t="str">
        <f t="shared" si="1"/>
        <v>1c</v>
      </c>
      <c r="B18" s="220"/>
      <c r="C18" s="230"/>
      <c r="D18" s="217"/>
      <c r="E18" s="76" t="s">
        <v>41</v>
      </c>
      <c r="F18" s="78" t="s">
        <v>42</v>
      </c>
      <c r="G18" s="103" t="s">
        <v>39</v>
      </c>
      <c r="H18" s="148" t="s">
        <v>230</v>
      </c>
      <c r="I18" s="99" t="str">
        <f t="shared" si="2"/>
        <v>Mantenimiento del control</v>
      </c>
      <c r="J18" s="98">
        <f t="shared" si="0"/>
        <v>20</v>
      </c>
      <c r="K18" s="96">
        <v>0.12345</v>
      </c>
      <c r="L18" s="96">
        <f t="shared" si="3"/>
        <v>20.123449999999998</v>
      </c>
    </row>
    <row r="19" spans="1:32" s="46" customFormat="1" ht="34" x14ac:dyDescent="0.2">
      <c r="A19" s="94" t="str">
        <f t="shared" si="1"/>
        <v>1d</v>
      </c>
      <c r="B19" s="220"/>
      <c r="C19" s="230"/>
      <c r="D19" s="217"/>
      <c r="E19" s="76" t="s">
        <v>43</v>
      </c>
      <c r="F19" s="78" t="s">
        <v>44</v>
      </c>
      <c r="G19" s="103" t="s">
        <v>39</v>
      </c>
      <c r="H19" s="148" t="s">
        <v>45</v>
      </c>
      <c r="I19" s="99" t="str">
        <f t="shared" si="2"/>
        <v>Mantenimiento del control</v>
      </c>
      <c r="J19" s="98">
        <f t="shared" si="0"/>
        <v>20</v>
      </c>
      <c r="K19" s="96">
        <v>0.123456</v>
      </c>
      <c r="L19" s="96">
        <f t="shared" si="3"/>
        <v>20.123456000000001</v>
      </c>
    </row>
    <row r="20" spans="1:32" s="46" customFormat="1" ht="34" x14ac:dyDescent="0.2">
      <c r="A20" s="94" t="str">
        <f t="shared" si="1"/>
        <v>1e</v>
      </c>
      <c r="B20" s="220"/>
      <c r="C20" s="230"/>
      <c r="D20" s="217"/>
      <c r="E20" s="76" t="s">
        <v>46</v>
      </c>
      <c r="F20" s="78" t="s">
        <v>47</v>
      </c>
      <c r="G20" s="103" t="s">
        <v>39</v>
      </c>
      <c r="H20" s="148" t="s">
        <v>48</v>
      </c>
      <c r="I20" s="99" t="str">
        <f t="shared" si="2"/>
        <v>Mantenimiento del control</v>
      </c>
      <c r="J20" s="98">
        <f t="shared" si="0"/>
        <v>20</v>
      </c>
      <c r="K20" s="96">
        <v>0.12345678</v>
      </c>
      <c r="L20" s="96">
        <f t="shared" si="3"/>
        <v>20.123456780000001</v>
      </c>
    </row>
    <row r="21" spans="1:32" s="46" customFormat="1" ht="85" x14ac:dyDescent="0.2">
      <c r="A21" s="94" t="str">
        <f t="shared" si="1"/>
        <v>1f</v>
      </c>
      <c r="B21" s="220"/>
      <c r="C21" s="230"/>
      <c r="D21" s="217"/>
      <c r="E21" s="76" t="s">
        <v>49</v>
      </c>
      <c r="F21" s="78" t="s">
        <v>50</v>
      </c>
      <c r="G21" s="103" t="s">
        <v>39</v>
      </c>
      <c r="H21" s="148" t="s">
        <v>211</v>
      </c>
      <c r="I21" s="99" t="str">
        <f t="shared" si="2"/>
        <v>Mantenimiento del control</v>
      </c>
      <c r="J21" s="98">
        <f t="shared" si="0"/>
        <v>20</v>
      </c>
      <c r="K21" s="96">
        <v>0.123456789</v>
      </c>
      <c r="L21" s="96">
        <f t="shared" si="3"/>
        <v>20.123456788999999</v>
      </c>
    </row>
    <row r="22" spans="1:32" s="46" customFormat="1" ht="65.25" customHeight="1" x14ac:dyDescent="0.2">
      <c r="A22" s="94" t="str">
        <f t="shared" si="1"/>
        <v>1g</v>
      </c>
      <c r="B22" s="220"/>
      <c r="C22" s="230"/>
      <c r="D22" s="217"/>
      <c r="E22" s="76" t="s">
        <v>52</v>
      </c>
      <c r="F22" s="78" t="s">
        <v>53</v>
      </c>
      <c r="G22" s="103" t="s">
        <v>39</v>
      </c>
      <c r="H22" s="148" t="s">
        <v>212</v>
      </c>
      <c r="I22" s="99" t="str">
        <f t="shared" si="2"/>
        <v>Mantenimiento del control</v>
      </c>
      <c r="J22" s="98">
        <f t="shared" si="0"/>
        <v>20</v>
      </c>
      <c r="K22" s="96">
        <v>0.12345678910000001</v>
      </c>
      <c r="L22" s="96">
        <f t="shared" si="3"/>
        <v>20.1234567891</v>
      </c>
    </row>
    <row r="23" spans="1:32" s="46" customFormat="1" ht="119" x14ac:dyDescent="0.2">
      <c r="A23" s="94" t="str">
        <f t="shared" si="1"/>
        <v>1h</v>
      </c>
      <c r="B23" s="220"/>
      <c r="C23" s="230"/>
      <c r="D23" s="217"/>
      <c r="E23" s="76" t="s">
        <v>54</v>
      </c>
      <c r="F23" s="78" t="s">
        <v>55</v>
      </c>
      <c r="G23" s="103" t="s">
        <v>51</v>
      </c>
      <c r="H23" s="148" t="s">
        <v>224</v>
      </c>
      <c r="I23" s="99" t="str">
        <f t="shared" si="2"/>
        <v>Oportunidad de mejora</v>
      </c>
      <c r="J23" s="98">
        <f t="shared" si="0"/>
        <v>10</v>
      </c>
      <c r="K23" s="96">
        <v>0.12345678911999999</v>
      </c>
      <c r="L23" s="96">
        <f t="shared" si="3"/>
        <v>10.12345678912</v>
      </c>
    </row>
    <row r="24" spans="1:32" s="46" customFormat="1" ht="85" x14ac:dyDescent="0.2">
      <c r="A24" s="94" t="str">
        <f t="shared" si="1"/>
        <v>1i</v>
      </c>
      <c r="B24" s="220"/>
      <c r="C24" s="230"/>
      <c r="D24" s="217"/>
      <c r="E24" s="76" t="s">
        <v>56</v>
      </c>
      <c r="F24" s="78" t="s">
        <v>57</v>
      </c>
      <c r="G24" s="103" t="s">
        <v>39</v>
      </c>
      <c r="H24" s="148" t="s">
        <v>213</v>
      </c>
      <c r="I24" s="99" t="str">
        <f t="shared" si="2"/>
        <v>Mantenimiento del control</v>
      </c>
      <c r="J24" s="98">
        <f t="shared" si="0"/>
        <v>20</v>
      </c>
      <c r="K24" s="96">
        <v>0.123456789123</v>
      </c>
      <c r="L24" s="96">
        <f t="shared" si="3"/>
        <v>20.123456789123001</v>
      </c>
    </row>
    <row r="25" spans="1:32" s="46" customFormat="1" ht="68" x14ac:dyDescent="0.2">
      <c r="A25" s="94" t="str">
        <f t="shared" si="1"/>
        <v>1j</v>
      </c>
      <c r="B25" s="220"/>
      <c r="C25" s="230"/>
      <c r="D25" s="217"/>
      <c r="E25" s="76" t="s">
        <v>58</v>
      </c>
      <c r="F25" s="78" t="s">
        <v>59</v>
      </c>
      <c r="G25" s="103" t="s">
        <v>39</v>
      </c>
      <c r="H25" s="148" t="s">
        <v>235</v>
      </c>
      <c r="I25" s="99" t="str">
        <f t="shared" si="2"/>
        <v>Mantenimiento del control</v>
      </c>
      <c r="J25" s="98">
        <f t="shared" si="0"/>
        <v>20</v>
      </c>
      <c r="K25" s="96">
        <v>0.1234567891234</v>
      </c>
      <c r="L25" s="96">
        <f t="shared" si="3"/>
        <v>20.123456789123399</v>
      </c>
    </row>
    <row r="26" spans="1:32" s="46" customFormat="1" ht="34" x14ac:dyDescent="0.2">
      <c r="A26" s="94" t="str">
        <f t="shared" si="1"/>
        <v>1k</v>
      </c>
      <c r="B26" s="220"/>
      <c r="C26" s="230"/>
      <c r="D26" s="217"/>
      <c r="E26" s="76" t="s">
        <v>60</v>
      </c>
      <c r="F26" s="78" t="s">
        <v>61</v>
      </c>
      <c r="G26" s="103" t="s">
        <v>39</v>
      </c>
      <c r="H26" s="148" t="s">
        <v>225</v>
      </c>
      <c r="I26" s="99" t="str">
        <f t="shared" si="2"/>
        <v>Mantenimiento del control</v>
      </c>
      <c r="J26" s="98">
        <f t="shared" si="0"/>
        <v>20</v>
      </c>
      <c r="K26" s="96">
        <v>0.12345678912345</v>
      </c>
      <c r="L26" s="96">
        <f t="shared" si="3"/>
        <v>20.123456789123448</v>
      </c>
    </row>
    <row r="27" spans="1:32" s="46" customFormat="1" ht="35" thickBot="1" x14ac:dyDescent="0.25">
      <c r="A27" s="94" t="str">
        <f t="shared" si="1"/>
        <v>1l</v>
      </c>
      <c r="B27" s="221"/>
      <c r="C27" s="231"/>
      <c r="D27" s="218"/>
      <c r="E27" s="79" t="s">
        <v>62</v>
      </c>
      <c r="F27" s="80" t="s">
        <v>63</v>
      </c>
      <c r="G27" s="104" t="s">
        <v>39</v>
      </c>
      <c r="H27" s="149" t="s">
        <v>64</v>
      </c>
      <c r="I27" s="100" t="str">
        <f t="shared" si="2"/>
        <v>Mantenimiento del control</v>
      </c>
      <c r="J27" s="98">
        <f t="shared" si="0"/>
        <v>20</v>
      </c>
      <c r="K27" s="96">
        <v>0.12345678912345601</v>
      </c>
      <c r="L27" s="96">
        <f t="shared" si="3"/>
        <v>20.123456789123455</v>
      </c>
    </row>
    <row r="28" spans="1:32" s="46" customFormat="1" ht="119" x14ac:dyDescent="0.2">
      <c r="A28" s="94" t="str">
        <f>2&amp;E28</f>
        <v>2a</v>
      </c>
      <c r="B28" s="222" t="s">
        <v>65</v>
      </c>
      <c r="C28" s="232" t="s">
        <v>66</v>
      </c>
      <c r="D28" s="225" t="s">
        <v>67</v>
      </c>
      <c r="E28" s="74" t="s">
        <v>34</v>
      </c>
      <c r="F28" s="75" t="s">
        <v>68</v>
      </c>
      <c r="G28" s="102" t="s">
        <v>51</v>
      </c>
      <c r="H28" s="147" t="s">
        <v>226</v>
      </c>
      <c r="I28" s="95" t="str">
        <f t="shared" si="2"/>
        <v>Oportunidad de mejora</v>
      </c>
      <c r="J28" s="96">
        <f>+IF(G28="Si",40,IF(G28="En proceso",30,20))</f>
        <v>30</v>
      </c>
      <c r="K28" s="96">
        <v>0.23</v>
      </c>
      <c r="L28" s="96">
        <f t="shared" si="3"/>
        <v>30.23</v>
      </c>
    </row>
    <row r="29" spans="1:32" s="46" customFormat="1" ht="102" x14ac:dyDescent="0.2">
      <c r="A29" s="94" t="str">
        <f t="shared" ref="A29:A31" si="4">2&amp;E29</f>
        <v>2b</v>
      </c>
      <c r="B29" s="223"/>
      <c r="C29" s="233"/>
      <c r="D29" s="226"/>
      <c r="E29" s="76" t="s">
        <v>37</v>
      </c>
      <c r="F29" s="78" t="s">
        <v>69</v>
      </c>
      <c r="G29" s="103" t="s">
        <v>39</v>
      </c>
      <c r="H29" s="148" t="s">
        <v>214</v>
      </c>
      <c r="I29" s="99" t="str">
        <f t="shared" si="2"/>
        <v>Mantenimiento del control</v>
      </c>
      <c r="J29" s="96">
        <f>+IF(G29="Si",40,IF(G29="En proceso",30,20))</f>
        <v>40</v>
      </c>
      <c r="K29" s="96">
        <v>0.23400000000000001</v>
      </c>
      <c r="L29" s="96">
        <f t="shared" si="3"/>
        <v>40.234000000000002</v>
      </c>
    </row>
    <row r="30" spans="1:32" s="46" customFormat="1" ht="85" x14ac:dyDescent="0.2">
      <c r="A30" s="94" t="str">
        <f t="shared" si="4"/>
        <v>2c</v>
      </c>
      <c r="B30" s="223"/>
      <c r="C30" s="233"/>
      <c r="D30" s="226"/>
      <c r="E30" s="76" t="s">
        <v>41</v>
      </c>
      <c r="F30" s="78" t="s">
        <v>70</v>
      </c>
      <c r="G30" s="103" t="s">
        <v>39</v>
      </c>
      <c r="H30" s="148" t="s">
        <v>227</v>
      </c>
      <c r="I30" s="99" t="str">
        <f t="shared" si="2"/>
        <v>Mantenimiento del control</v>
      </c>
      <c r="J30" s="96">
        <f>+IF(G30="Si",40,IF(G30="En proceso",30,20))</f>
        <v>40</v>
      </c>
      <c r="K30" s="96">
        <v>0.23449999999999999</v>
      </c>
      <c r="L30" s="96">
        <f t="shared" si="3"/>
        <v>40.234499999999997</v>
      </c>
    </row>
    <row r="31" spans="1:32" s="46" customFormat="1" ht="86" thickBot="1" x14ac:dyDescent="0.25">
      <c r="A31" s="94" t="str">
        <f t="shared" si="4"/>
        <v>2d</v>
      </c>
      <c r="B31" s="224"/>
      <c r="C31" s="234"/>
      <c r="D31" s="227"/>
      <c r="E31" s="79" t="s">
        <v>43</v>
      </c>
      <c r="F31" s="80" t="s">
        <v>71</v>
      </c>
      <c r="G31" s="104" t="s">
        <v>39</v>
      </c>
      <c r="H31" s="149" t="s">
        <v>228</v>
      </c>
      <c r="I31" s="100" t="str">
        <f t="shared" si="2"/>
        <v>Mantenimiento del control</v>
      </c>
      <c r="J31" s="96">
        <f>+IF(G31="Si",40,IF(G31="En proceso",30,20))</f>
        <v>40</v>
      </c>
      <c r="K31" s="96">
        <v>0.23455999999999999</v>
      </c>
      <c r="L31" s="96">
        <f t="shared" si="3"/>
        <v>40.234560000000002</v>
      </c>
    </row>
    <row r="32" spans="1:32" s="46" customFormat="1" ht="51" x14ac:dyDescent="0.2">
      <c r="A32" s="94" t="str">
        <f>3&amp;E32</f>
        <v>3a</v>
      </c>
      <c r="B32" s="244" t="s">
        <v>72</v>
      </c>
      <c r="C32" s="244" t="s">
        <v>66</v>
      </c>
      <c r="D32" s="245" t="s">
        <v>73</v>
      </c>
      <c r="E32" s="76" t="s">
        <v>34</v>
      </c>
      <c r="F32" s="78" t="s">
        <v>74</v>
      </c>
      <c r="G32" s="103" t="s">
        <v>39</v>
      </c>
      <c r="H32" s="148" t="s">
        <v>75</v>
      </c>
      <c r="I32" s="99" t="str">
        <f t="shared" si="2"/>
        <v>Mantenimiento del control</v>
      </c>
      <c r="J32" s="96">
        <f t="shared" ref="J32:J37" si="5">+IF(G32="Si",40,IF(G32="En proceso",30,20))</f>
        <v>40</v>
      </c>
      <c r="K32" s="101">
        <v>0.234567</v>
      </c>
      <c r="L32" s="96">
        <f t="shared" ref="L32:L37" si="6">+J32+K32</f>
        <v>40.234566999999998</v>
      </c>
      <c r="M32" s="45"/>
      <c r="N32" s="45"/>
      <c r="O32" s="45"/>
      <c r="P32" s="45"/>
      <c r="Q32" s="45"/>
      <c r="R32" s="45"/>
      <c r="S32" s="45"/>
      <c r="T32" s="45"/>
      <c r="U32" s="45"/>
      <c r="V32" s="45"/>
      <c r="W32" s="45"/>
      <c r="X32" s="45"/>
      <c r="Y32" s="45"/>
      <c r="Z32" s="45"/>
      <c r="AA32" s="45"/>
      <c r="AB32" s="45"/>
      <c r="AC32" s="45"/>
      <c r="AD32" s="45"/>
      <c r="AE32" s="45"/>
      <c r="AF32" s="45"/>
    </row>
    <row r="33" spans="1:32" s="46" customFormat="1" ht="68" x14ac:dyDescent="0.2">
      <c r="A33" s="94" t="str">
        <f t="shared" ref="A33:A34" si="7">3&amp;E33</f>
        <v>3b</v>
      </c>
      <c r="B33" s="244"/>
      <c r="C33" s="244"/>
      <c r="D33" s="245"/>
      <c r="E33" s="76" t="s">
        <v>37</v>
      </c>
      <c r="F33" s="78" t="s">
        <v>76</v>
      </c>
      <c r="G33" s="103" t="s">
        <v>39</v>
      </c>
      <c r="H33" s="148" t="s">
        <v>215</v>
      </c>
      <c r="I33" s="99" t="str">
        <f t="shared" si="2"/>
        <v>Mantenimiento del control</v>
      </c>
      <c r="J33" s="96">
        <f t="shared" si="5"/>
        <v>40</v>
      </c>
      <c r="K33" s="101">
        <v>0.23456779999999999</v>
      </c>
      <c r="L33" s="96">
        <f t="shared" si="6"/>
        <v>40.234567800000001</v>
      </c>
      <c r="M33" s="45"/>
      <c r="N33" s="45"/>
      <c r="O33" s="45"/>
      <c r="P33" s="45"/>
      <c r="Q33" s="45"/>
      <c r="R33" s="45"/>
      <c r="S33" s="45"/>
      <c r="T33" s="45"/>
      <c r="U33" s="45"/>
      <c r="V33" s="45"/>
      <c r="W33" s="45"/>
      <c r="X33" s="45"/>
      <c r="Y33" s="45"/>
      <c r="Z33" s="45"/>
      <c r="AA33" s="45"/>
      <c r="AB33" s="45"/>
      <c r="AC33" s="45"/>
      <c r="AD33" s="45"/>
      <c r="AE33" s="45"/>
      <c r="AF33" s="45"/>
    </row>
    <row r="34" spans="1:32" s="46" customFormat="1" ht="52" thickBot="1" x14ac:dyDescent="0.25">
      <c r="A34" s="94" t="str">
        <f t="shared" si="7"/>
        <v>3c</v>
      </c>
      <c r="B34" s="244"/>
      <c r="C34" s="244"/>
      <c r="D34" s="245"/>
      <c r="E34" s="76" t="s">
        <v>41</v>
      </c>
      <c r="F34" s="78" t="s">
        <v>77</v>
      </c>
      <c r="G34" s="103" t="s">
        <v>39</v>
      </c>
      <c r="H34" s="148" t="s">
        <v>222</v>
      </c>
      <c r="I34" s="99" t="str">
        <f t="shared" si="2"/>
        <v>Mantenimiento del control</v>
      </c>
      <c r="J34" s="96">
        <f t="shared" si="5"/>
        <v>40</v>
      </c>
      <c r="K34" s="101">
        <v>0.23456789</v>
      </c>
      <c r="L34" s="96">
        <f t="shared" si="6"/>
        <v>40.234567890000001</v>
      </c>
      <c r="M34" s="45"/>
      <c r="N34" s="45"/>
      <c r="O34" s="45"/>
      <c r="P34" s="45"/>
      <c r="Q34" s="45"/>
      <c r="R34" s="45"/>
      <c r="S34" s="45"/>
      <c r="T34" s="45"/>
      <c r="U34" s="45"/>
      <c r="V34" s="45"/>
      <c r="W34" s="45"/>
      <c r="X34" s="45"/>
      <c r="Y34" s="45"/>
      <c r="Z34" s="45"/>
      <c r="AA34" s="45"/>
      <c r="AB34" s="45"/>
      <c r="AC34" s="45"/>
      <c r="AD34" s="45"/>
      <c r="AE34" s="45"/>
      <c r="AF34" s="45"/>
    </row>
    <row r="35" spans="1:32" s="46" customFormat="1" ht="102" x14ac:dyDescent="0.2">
      <c r="A35" s="94" t="str">
        <f>4&amp;E35</f>
        <v>4a</v>
      </c>
      <c r="B35" s="246" t="s">
        <v>78</v>
      </c>
      <c r="C35" s="233" t="s">
        <v>66</v>
      </c>
      <c r="D35" s="226" t="s">
        <v>79</v>
      </c>
      <c r="E35" s="74" t="s">
        <v>34</v>
      </c>
      <c r="F35" s="75" t="s">
        <v>80</v>
      </c>
      <c r="G35" s="102" t="s">
        <v>39</v>
      </c>
      <c r="H35" s="147" t="s">
        <v>220</v>
      </c>
      <c r="I35" s="95" t="str">
        <f t="shared" si="2"/>
        <v>Mantenimiento del control</v>
      </c>
      <c r="J35" s="96">
        <f t="shared" si="5"/>
        <v>40</v>
      </c>
      <c r="K35" s="101">
        <v>0.23456789119999999</v>
      </c>
      <c r="L35" s="96">
        <f t="shared" si="6"/>
        <v>40.234567891200001</v>
      </c>
      <c r="M35" s="45"/>
      <c r="N35" s="45"/>
      <c r="O35" s="45"/>
      <c r="P35" s="45"/>
      <c r="Q35" s="45"/>
    </row>
    <row r="36" spans="1:32" s="46" customFormat="1" ht="51" x14ac:dyDescent="0.2">
      <c r="A36" s="94" t="str">
        <f t="shared" ref="A36:A37" si="8">4&amp;E36</f>
        <v>4b</v>
      </c>
      <c r="B36" s="246"/>
      <c r="C36" s="233"/>
      <c r="D36" s="226"/>
      <c r="E36" s="76" t="s">
        <v>37</v>
      </c>
      <c r="F36" s="78" t="s">
        <v>81</v>
      </c>
      <c r="G36" s="103" t="s">
        <v>39</v>
      </c>
      <c r="H36" s="148" t="s">
        <v>82</v>
      </c>
      <c r="I36" s="99" t="str">
        <f t="shared" si="2"/>
        <v>Mantenimiento del control</v>
      </c>
      <c r="J36" s="96">
        <f t="shared" si="5"/>
        <v>40</v>
      </c>
      <c r="K36" s="101">
        <v>0.23456789122999999</v>
      </c>
      <c r="L36" s="96">
        <f t="shared" si="6"/>
        <v>40.23456789123</v>
      </c>
      <c r="M36" s="45"/>
      <c r="N36" s="45"/>
      <c r="O36" s="45"/>
      <c r="P36" s="45"/>
      <c r="Q36" s="45"/>
    </row>
    <row r="37" spans="1:32" s="46" customFormat="1" ht="52" thickBot="1" x14ac:dyDescent="0.25">
      <c r="A37" s="94" t="str">
        <f t="shared" si="8"/>
        <v>4c</v>
      </c>
      <c r="B37" s="246"/>
      <c r="C37" s="233"/>
      <c r="D37" s="226"/>
      <c r="E37" s="76" t="s">
        <v>41</v>
      </c>
      <c r="F37" s="78" t="s">
        <v>83</v>
      </c>
      <c r="G37" s="103" t="s">
        <v>39</v>
      </c>
      <c r="H37" s="148" t="s">
        <v>216</v>
      </c>
      <c r="I37" s="99" t="str">
        <f t="shared" si="2"/>
        <v>Mantenimiento del control</v>
      </c>
      <c r="J37" s="96">
        <f t="shared" si="5"/>
        <v>40</v>
      </c>
      <c r="K37" s="101">
        <v>0.23456789123399999</v>
      </c>
      <c r="L37" s="96">
        <f t="shared" si="6"/>
        <v>40.234567891234001</v>
      </c>
      <c r="M37" s="45"/>
      <c r="N37" s="45"/>
      <c r="O37" s="45"/>
      <c r="P37" s="45"/>
      <c r="Q37" s="45"/>
    </row>
    <row r="38" spans="1:32" s="46" customFormat="1" ht="102" x14ac:dyDescent="0.2">
      <c r="A38" s="94" t="str">
        <f>5&amp;E38</f>
        <v>5a</v>
      </c>
      <c r="B38" s="247" t="s">
        <v>84</v>
      </c>
      <c r="C38" s="235" t="s">
        <v>85</v>
      </c>
      <c r="D38" s="250" t="s">
        <v>86</v>
      </c>
      <c r="E38" s="74" t="s">
        <v>34</v>
      </c>
      <c r="F38" s="75" t="s">
        <v>87</v>
      </c>
      <c r="G38" s="102" t="s">
        <v>39</v>
      </c>
      <c r="H38" s="147" t="s">
        <v>217</v>
      </c>
      <c r="I38" s="95" t="str">
        <f t="shared" si="2"/>
        <v>Mantenimiento del control</v>
      </c>
      <c r="J38" s="96">
        <f>+IF(G38="Si",60,IF(G38="En proceso",50,40))</f>
        <v>60</v>
      </c>
      <c r="K38" s="96">
        <v>0.31</v>
      </c>
      <c r="L38" s="96">
        <f t="shared" si="3"/>
        <v>60.31</v>
      </c>
    </row>
    <row r="39" spans="1:32" s="46" customFormat="1" ht="85" x14ac:dyDescent="0.2">
      <c r="A39" s="94" t="str">
        <f t="shared" ref="A39:A42" si="9">5&amp;E39</f>
        <v>5b</v>
      </c>
      <c r="B39" s="248"/>
      <c r="C39" s="236"/>
      <c r="D39" s="251"/>
      <c r="E39" s="76" t="s">
        <v>37</v>
      </c>
      <c r="F39" s="78" t="s">
        <v>88</v>
      </c>
      <c r="G39" s="103" t="s">
        <v>51</v>
      </c>
      <c r="H39" s="148" t="s">
        <v>223</v>
      </c>
      <c r="I39" s="99" t="str">
        <f t="shared" si="2"/>
        <v>Oportunidad de mejora</v>
      </c>
      <c r="J39" s="96">
        <f>+IF(G39="Si",60,IF(G39="En proceso",50,40))</f>
        <v>50</v>
      </c>
      <c r="K39" s="96">
        <v>0.32300000000000001</v>
      </c>
      <c r="L39" s="96">
        <f t="shared" si="3"/>
        <v>50.323</v>
      </c>
    </row>
    <row r="40" spans="1:32" s="46" customFormat="1" ht="68" x14ac:dyDescent="0.2">
      <c r="A40" s="94" t="str">
        <f t="shared" si="9"/>
        <v>5c</v>
      </c>
      <c r="B40" s="248"/>
      <c r="C40" s="236"/>
      <c r="D40" s="251"/>
      <c r="E40" s="76" t="s">
        <v>41</v>
      </c>
      <c r="F40" s="78" t="s">
        <v>89</v>
      </c>
      <c r="G40" s="103" t="s">
        <v>51</v>
      </c>
      <c r="H40" s="148" t="s">
        <v>218</v>
      </c>
      <c r="I40" s="99" t="str">
        <f t="shared" si="2"/>
        <v>Oportunidad de mejora</v>
      </c>
      <c r="J40" s="96">
        <f>+IF(G40="Si",60,IF(G40="En proceso",50,40))</f>
        <v>50</v>
      </c>
      <c r="K40" s="96">
        <v>0.32400000000000001</v>
      </c>
      <c r="L40" s="96">
        <f t="shared" si="3"/>
        <v>50.323999999999998</v>
      </c>
    </row>
    <row r="41" spans="1:32" s="46" customFormat="1" ht="85" x14ac:dyDescent="0.2">
      <c r="A41" s="94" t="str">
        <f t="shared" si="9"/>
        <v>5d</v>
      </c>
      <c r="B41" s="248"/>
      <c r="C41" s="236"/>
      <c r="D41" s="251"/>
      <c r="E41" s="76" t="s">
        <v>43</v>
      </c>
      <c r="F41" s="78" t="s">
        <v>90</v>
      </c>
      <c r="G41" s="103" t="s">
        <v>39</v>
      </c>
      <c r="H41" s="148" t="s">
        <v>91</v>
      </c>
      <c r="I41" s="99" t="str">
        <f t="shared" si="2"/>
        <v>Mantenimiento del control</v>
      </c>
      <c r="J41" s="96">
        <f>+IF(G41="Si",60,IF(G41="En proceso",50,40))</f>
        <v>60</v>
      </c>
      <c r="K41" s="96">
        <v>0.32500000000000001</v>
      </c>
      <c r="L41" s="96">
        <f t="shared" si="3"/>
        <v>60.325000000000003</v>
      </c>
    </row>
    <row r="42" spans="1:32" s="46" customFormat="1" ht="69" thickBot="1" x14ac:dyDescent="0.25">
      <c r="A42" s="94" t="str">
        <f t="shared" si="9"/>
        <v>5e</v>
      </c>
      <c r="B42" s="249"/>
      <c r="C42" s="237"/>
      <c r="D42" s="252"/>
      <c r="E42" s="79" t="s">
        <v>46</v>
      </c>
      <c r="F42" s="80" t="s">
        <v>92</v>
      </c>
      <c r="G42" s="104" t="s">
        <v>39</v>
      </c>
      <c r="H42" s="149" t="s">
        <v>236</v>
      </c>
      <c r="I42" s="100" t="str">
        <f t="shared" si="2"/>
        <v>Mantenimiento del control</v>
      </c>
      <c r="J42" s="96">
        <f>+IF(G42="Si",60,IF(G42="En proceso",50,40))</f>
        <v>60</v>
      </c>
      <c r="K42" s="96">
        <v>0.32600000000000001</v>
      </c>
      <c r="L42" s="96">
        <f t="shared" si="3"/>
        <v>60.326000000000001</v>
      </c>
    </row>
    <row r="43" spans="1:32" s="46" customFormat="1" ht="51" x14ac:dyDescent="0.2">
      <c r="A43" s="94" t="str">
        <f>6&amp;E43</f>
        <v>6a</v>
      </c>
      <c r="B43" s="207" t="s">
        <v>93</v>
      </c>
      <c r="C43" s="238" t="s">
        <v>94</v>
      </c>
      <c r="D43" s="204" t="s">
        <v>95</v>
      </c>
      <c r="E43" s="74" t="s">
        <v>34</v>
      </c>
      <c r="F43" s="75" t="s">
        <v>96</v>
      </c>
      <c r="G43" s="102" t="s">
        <v>39</v>
      </c>
      <c r="H43" s="147" t="s">
        <v>97</v>
      </c>
      <c r="I43" s="95" t="str">
        <f t="shared" si="2"/>
        <v>Mantenimiento del control</v>
      </c>
      <c r="J43" s="96">
        <f t="shared" ref="J43:J49" si="10">+IF(G43="Si",80,IF(G43="En proceso",70,60))</f>
        <v>80</v>
      </c>
      <c r="K43" s="96">
        <v>0.41199999999999998</v>
      </c>
      <c r="L43" s="96">
        <f t="shared" si="3"/>
        <v>80.412000000000006</v>
      </c>
    </row>
    <row r="44" spans="1:32" s="46" customFormat="1" ht="68" x14ac:dyDescent="0.2">
      <c r="A44" s="94" t="str">
        <f t="shared" ref="A44:A49" si="11">6&amp;E44</f>
        <v>6b</v>
      </c>
      <c r="B44" s="208"/>
      <c r="C44" s="239"/>
      <c r="D44" s="205"/>
      <c r="E44" s="76" t="s">
        <v>37</v>
      </c>
      <c r="F44" s="78" t="s">
        <v>98</v>
      </c>
      <c r="G44" s="103" t="s">
        <v>39</v>
      </c>
      <c r="H44" s="148" t="s">
        <v>99</v>
      </c>
      <c r="I44" s="99" t="str">
        <f t="shared" si="2"/>
        <v>Mantenimiento del control</v>
      </c>
      <c r="J44" s="96">
        <f t="shared" si="10"/>
        <v>80</v>
      </c>
      <c r="K44" s="96">
        <v>0.4123</v>
      </c>
      <c r="L44" s="96">
        <f t="shared" si="3"/>
        <v>80.412300000000002</v>
      </c>
    </row>
    <row r="45" spans="1:32" s="46" customFormat="1" ht="51" x14ac:dyDescent="0.2">
      <c r="A45" s="94" t="str">
        <f t="shared" si="11"/>
        <v>6c</v>
      </c>
      <c r="B45" s="208"/>
      <c r="C45" s="239"/>
      <c r="D45" s="205"/>
      <c r="E45" s="76" t="s">
        <v>41</v>
      </c>
      <c r="F45" s="78" t="s">
        <v>100</v>
      </c>
      <c r="G45" s="103" t="s">
        <v>39</v>
      </c>
      <c r="H45" s="148" t="s">
        <v>101</v>
      </c>
      <c r="I45" s="99" t="str">
        <f t="shared" si="2"/>
        <v>Mantenimiento del control</v>
      </c>
      <c r="J45" s="96">
        <f t="shared" si="10"/>
        <v>80</v>
      </c>
      <c r="K45" s="96">
        <v>0.41233999999999998</v>
      </c>
      <c r="L45" s="96">
        <f t="shared" si="3"/>
        <v>80.41234</v>
      </c>
    </row>
    <row r="46" spans="1:32" s="46" customFormat="1" ht="34" x14ac:dyDescent="0.2">
      <c r="A46" s="94" t="str">
        <f t="shared" si="11"/>
        <v>6d</v>
      </c>
      <c r="B46" s="208"/>
      <c r="C46" s="239"/>
      <c r="D46" s="205"/>
      <c r="E46" s="76" t="s">
        <v>43</v>
      </c>
      <c r="F46" s="78" t="s">
        <v>102</v>
      </c>
      <c r="G46" s="103" t="s">
        <v>36</v>
      </c>
      <c r="H46" s="148" t="s">
        <v>231</v>
      </c>
      <c r="I46" s="99" t="str">
        <f t="shared" si="2"/>
        <v>Deficiencia de control</v>
      </c>
      <c r="J46" s="96">
        <f t="shared" si="10"/>
        <v>60</v>
      </c>
      <c r="K46" s="96">
        <v>0.41234500000000002</v>
      </c>
      <c r="L46" s="96">
        <f t="shared" si="3"/>
        <v>60.412345000000002</v>
      </c>
    </row>
    <row r="47" spans="1:32" s="46" customFormat="1" ht="51" x14ac:dyDescent="0.2">
      <c r="A47" s="94" t="str">
        <f t="shared" si="11"/>
        <v>6e</v>
      </c>
      <c r="B47" s="208"/>
      <c r="C47" s="239"/>
      <c r="D47" s="205"/>
      <c r="E47" s="76" t="s">
        <v>46</v>
      </c>
      <c r="F47" s="78" t="s">
        <v>103</v>
      </c>
      <c r="G47" s="103" t="s">
        <v>51</v>
      </c>
      <c r="H47" s="148" t="s">
        <v>104</v>
      </c>
      <c r="I47" s="99" t="str">
        <f t="shared" si="2"/>
        <v>Oportunidad de mejora</v>
      </c>
      <c r="J47" s="96">
        <f t="shared" si="10"/>
        <v>70</v>
      </c>
      <c r="K47" s="96">
        <v>0.41234559999999998</v>
      </c>
      <c r="L47" s="96">
        <f t="shared" si="3"/>
        <v>70.412345599999995</v>
      </c>
    </row>
    <row r="48" spans="1:32" s="46" customFormat="1" ht="51" x14ac:dyDescent="0.2">
      <c r="A48" s="94" t="str">
        <f t="shared" si="11"/>
        <v>6f</v>
      </c>
      <c r="B48" s="208"/>
      <c r="C48" s="239"/>
      <c r="D48" s="205"/>
      <c r="E48" s="76" t="s">
        <v>49</v>
      </c>
      <c r="F48" s="78" t="s">
        <v>105</v>
      </c>
      <c r="G48" s="103" t="s">
        <v>51</v>
      </c>
      <c r="H48" s="148" t="s">
        <v>106</v>
      </c>
      <c r="I48" s="99" t="str">
        <f t="shared" si="2"/>
        <v>Oportunidad de mejora</v>
      </c>
      <c r="J48" s="96">
        <f t="shared" si="10"/>
        <v>70</v>
      </c>
      <c r="K48" s="96">
        <v>0.41234567</v>
      </c>
      <c r="L48" s="96">
        <f t="shared" si="3"/>
        <v>70.412345669999993</v>
      </c>
    </row>
    <row r="49" spans="1:17" s="46" customFormat="1" ht="52" thickBot="1" x14ac:dyDescent="0.25">
      <c r="A49" s="94" t="str">
        <f t="shared" si="11"/>
        <v>6g</v>
      </c>
      <c r="B49" s="209"/>
      <c r="C49" s="240"/>
      <c r="D49" s="206"/>
      <c r="E49" s="79" t="s">
        <v>52</v>
      </c>
      <c r="F49" s="80" t="s">
        <v>107</v>
      </c>
      <c r="G49" s="104" t="s">
        <v>39</v>
      </c>
      <c r="H49" s="149" t="s">
        <v>108</v>
      </c>
      <c r="I49" s="100" t="str">
        <f t="shared" si="2"/>
        <v>Mantenimiento del control</v>
      </c>
      <c r="J49" s="96">
        <f t="shared" si="10"/>
        <v>80</v>
      </c>
      <c r="K49" s="96">
        <v>0.41234567799999999</v>
      </c>
      <c r="L49" s="96">
        <f t="shared" si="3"/>
        <v>80.412345677999994</v>
      </c>
    </row>
    <row r="50" spans="1:17" s="46" customFormat="1" ht="51" x14ac:dyDescent="0.2">
      <c r="A50" s="94" t="str">
        <f>7&amp;E50</f>
        <v>7a</v>
      </c>
      <c r="B50" s="213" t="s">
        <v>109</v>
      </c>
      <c r="C50" s="241" t="s">
        <v>110</v>
      </c>
      <c r="D50" s="210" t="s">
        <v>111</v>
      </c>
      <c r="E50" s="74" t="s">
        <v>34</v>
      </c>
      <c r="F50" s="75" t="s">
        <v>112</v>
      </c>
      <c r="G50" s="102" t="s">
        <v>39</v>
      </c>
      <c r="H50" s="147" t="s">
        <v>229</v>
      </c>
      <c r="I50" s="95" t="str">
        <f t="shared" si="2"/>
        <v>Mantenimiento del control</v>
      </c>
      <c r="J50" s="96">
        <f>+IF(G50="Si",120,IF(G50="En proceso",100,80))</f>
        <v>120</v>
      </c>
      <c r="K50" s="96">
        <v>0.85099999999999998</v>
      </c>
      <c r="L50" s="96">
        <f t="shared" si="3"/>
        <v>120.851</v>
      </c>
    </row>
    <row r="51" spans="1:17" s="46" customFormat="1" ht="85" x14ac:dyDescent="0.2">
      <c r="A51" s="94" t="str">
        <f t="shared" ref="A51:A53" si="12">7&amp;E51</f>
        <v>7d</v>
      </c>
      <c r="B51" s="214"/>
      <c r="C51" s="242"/>
      <c r="D51" s="211"/>
      <c r="E51" s="76" t="s">
        <v>43</v>
      </c>
      <c r="F51" s="78" t="s">
        <v>113</v>
      </c>
      <c r="G51" s="103" t="s">
        <v>39</v>
      </c>
      <c r="H51" s="148" t="s">
        <v>219</v>
      </c>
      <c r="I51" s="99" t="str">
        <f t="shared" si="2"/>
        <v>Mantenimiento del control</v>
      </c>
      <c r="J51" s="96">
        <f t="shared" ref="J51:J59" si="13">+IF(G51="Si",120,IF(G51="En proceso",100,80))</f>
        <v>120</v>
      </c>
      <c r="K51" s="96">
        <v>0.85119999999999996</v>
      </c>
      <c r="L51" s="96">
        <f t="shared" si="3"/>
        <v>120.85120000000001</v>
      </c>
    </row>
    <row r="52" spans="1:17" s="46" customFormat="1" ht="51" x14ac:dyDescent="0.2">
      <c r="A52" s="94" t="str">
        <f t="shared" si="12"/>
        <v>7f</v>
      </c>
      <c r="B52" s="214"/>
      <c r="C52" s="242"/>
      <c r="D52" s="211"/>
      <c r="E52" s="76" t="s">
        <v>49</v>
      </c>
      <c r="F52" s="78" t="s">
        <v>114</v>
      </c>
      <c r="G52" s="103" t="s">
        <v>39</v>
      </c>
      <c r="H52" s="148" t="s">
        <v>115</v>
      </c>
      <c r="I52" s="99" t="str">
        <f t="shared" si="2"/>
        <v>Mantenimiento del control</v>
      </c>
      <c r="J52" s="96">
        <f t="shared" si="13"/>
        <v>120</v>
      </c>
      <c r="K52" s="96">
        <v>0.85123000000000004</v>
      </c>
      <c r="L52" s="96">
        <f t="shared" si="3"/>
        <v>120.85123</v>
      </c>
    </row>
    <row r="53" spans="1:17" s="46" customFormat="1" ht="86" thickBot="1" x14ac:dyDescent="0.25">
      <c r="A53" s="94" t="str">
        <f t="shared" si="12"/>
        <v>7g</v>
      </c>
      <c r="B53" s="215"/>
      <c r="C53" s="243"/>
      <c r="D53" s="212"/>
      <c r="E53" s="79" t="s">
        <v>52</v>
      </c>
      <c r="F53" s="80" t="s">
        <v>116</v>
      </c>
      <c r="G53" s="104" t="s">
        <v>39</v>
      </c>
      <c r="H53" s="149" t="s">
        <v>117</v>
      </c>
      <c r="I53" s="100" t="str">
        <f t="shared" si="2"/>
        <v>Mantenimiento del control</v>
      </c>
      <c r="J53" s="96">
        <f t="shared" si="13"/>
        <v>120</v>
      </c>
      <c r="K53" s="96">
        <v>0.85123400000000005</v>
      </c>
      <c r="L53" s="96">
        <f t="shared" si="3"/>
        <v>120.85123400000001</v>
      </c>
    </row>
    <row r="54" spans="1:17" s="46" customFormat="1" ht="102.75" customHeight="1" thickBot="1" x14ac:dyDescent="0.25">
      <c r="A54" s="94" t="str">
        <f>8&amp;E54</f>
        <v>8h</v>
      </c>
      <c r="B54" s="152" t="s">
        <v>118</v>
      </c>
      <c r="C54" s="153" t="s">
        <v>110</v>
      </c>
      <c r="D54" s="70" t="s">
        <v>119</v>
      </c>
      <c r="E54" s="74" t="s">
        <v>54</v>
      </c>
      <c r="F54" s="75" t="s">
        <v>120</v>
      </c>
      <c r="G54" s="102" t="s">
        <v>39</v>
      </c>
      <c r="H54" s="147" t="s">
        <v>121</v>
      </c>
      <c r="I54" s="95" t="str">
        <f t="shared" si="2"/>
        <v>Mantenimiento del control</v>
      </c>
      <c r="J54" s="96">
        <f t="shared" si="13"/>
        <v>120</v>
      </c>
      <c r="K54" s="96">
        <v>0.85123450000000001</v>
      </c>
      <c r="L54" s="96">
        <f t="shared" si="3"/>
        <v>120.8512345</v>
      </c>
    </row>
    <row r="55" spans="1:17" s="46" customFormat="1" ht="68" x14ac:dyDescent="0.2">
      <c r="A55" s="94" t="str">
        <f>9&amp;E55</f>
        <v>9a</v>
      </c>
      <c r="B55" s="213" t="s">
        <v>122</v>
      </c>
      <c r="C55" s="241" t="s">
        <v>110</v>
      </c>
      <c r="D55" s="210" t="s">
        <v>123</v>
      </c>
      <c r="E55" s="74" t="s">
        <v>34</v>
      </c>
      <c r="F55" s="75" t="s">
        <v>124</v>
      </c>
      <c r="G55" s="102" t="s">
        <v>39</v>
      </c>
      <c r="H55" s="147" t="s">
        <v>221</v>
      </c>
      <c r="I55" s="95" t="str">
        <f t="shared" si="2"/>
        <v>Mantenimiento del control</v>
      </c>
      <c r="J55" s="96">
        <f t="shared" si="13"/>
        <v>120</v>
      </c>
      <c r="K55" s="101">
        <v>0.85123455999999997</v>
      </c>
      <c r="L55" s="96">
        <f t="shared" si="3"/>
        <v>120.85123455999999</v>
      </c>
      <c r="M55" s="45"/>
      <c r="N55" s="45"/>
      <c r="O55" s="45"/>
      <c r="P55" s="45"/>
      <c r="Q55" s="45"/>
    </row>
    <row r="56" spans="1:17" s="46" customFormat="1" ht="55.5" customHeight="1" thickBot="1" x14ac:dyDescent="0.25">
      <c r="A56" s="94" t="str">
        <f t="shared" ref="A56:A59" si="14">9&amp;E56</f>
        <v>9b</v>
      </c>
      <c r="B56" s="214"/>
      <c r="C56" s="242"/>
      <c r="D56" s="211"/>
      <c r="E56" s="76" t="s">
        <v>37</v>
      </c>
      <c r="F56" s="78" t="s">
        <v>126</v>
      </c>
      <c r="G56" s="103" t="s">
        <v>39</v>
      </c>
      <c r="H56" s="148" t="s">
        <v>232</v>
      </c>
      <c r="I56" s="99" t="str">
        <f t="shared" si="2"/>
        <v>Mantenimiento del control</v>
      </c>
      <c r="J56" s="96">
        <f t="shared" si="13"/>
        <v>120</v>
      </c>
      <c r="K56" s="101">
        <v>0.851234567</v>
      </c>
      <c r="L56" s="96">
        <f t="shared" si="3"/>
        <v>120.85123456700001</v>
      </c>
      <c r="M56" s="45"/>
      <c r="N56" s="45"/>
      <c r="O56" s="45"/>
      <c r="P56" s="45"/>
      <c r="Q56" s="45"/>
    </row>
    <row r="57" spans="1:17" s="46" customFormat="1" ht="77.25" customHeight="1" thickBot="1" x14ac:dyDescent="0.25">
      <c r="A57" s="94" t="str">
        <f t="shared" si="14"/>
        <v>9c</v>
      </c>
      <c r="B57" s="214"/>
      <c r="C57" s="242"/>
      <c r="D57" s="211"/>
      <c r="E57" s="76" t="s">
        <v>41</v>
      </c>
      <c r="F57" s="78" t="s">
        <v>127</v>
      </c>
      <c r="G57" s="103" t="s">
        <v>51</v>
      </c>
      <c r="H57" s="147" t="s">
        <v>125</v>
      </c>
      <c r="I57" s="99" t="str">
        <f t="shared" si="2"/>
        <v>Oportunidad de mejora</v>
      </c>
      <c r="J57" s="96">
        <f t="shared" si="13"/>
        <v>100</v>
      </c>
      <c r="K57" s="101">
        <v>0.85123456779999995</v>
      </c>
      <c r="L57" s="96">
        <f t="shared" si="3"/>
        <v>100.85123456780001</v>
      </c>
      <c r="M57" s="45"/>
      <c r="N57" s="45"/>
      <c r="O57" s="45"/>
      <c r="P57" s="45"/>
      <c r="Q57" s="45"/>
    </row>
    <row r="58" spans="1:17" s="46" customFormat="1" ht="77.25" customHeight="1" x14ac:dyDescent="0.2">
      <c r="A58" s="94" t="str">
        <f t="shared" si="14"/>
        <v>9d</v>
      </c>
      <c r="B58" s="214"/>
      <c r="C58" s="242"/>
      <c r="D58" s="211"/>
      <c r="E58" s="76" t="s">
        <v>43</v>
      </c>
      <c r="F58" s="78" t="s">
        <v>128</v>
      </c>
      <c r="G58" s="103" t="s">
        <v>51</v>
      </c>
      <c r="H58" s="147" t="s">
        <v>125</v>
      </c>
      <c r="I58" s="99" t="str">
        <f t="shared" si="2"/>
        <v>Oportunidad de mejora</v>
      </c>
      <c r="J58" s="96">
        <f t="shared" si="13"/>
        <v>100</v>
      </c>
      <c r="K58" s="101">
        <v>0.85123456788999996</v>
      </c>
      <c r="L58" s="96">
        <f t="shared" si="3"/>
        <v>100.85123456789</v>
      </c>
      <c r="M58" s="45"/>
      <c r="N58" s="45"/>
      <c r="O58" s="45"/>
      <c r="P58" s="45"/>
      <c r="Q58" s="45"/>
    </row>
    <row r="59" spans="1:17" s="46" customFormat="1" ht="77.25" customHeight="1" thickBot="1" x14ac:dyDescent="0.25">
      <c r="A59" s="94" t="str">
        <f t="shared" si="14"/>
        <v>9e</v>
      </c>
      <c r="B59" s="215"/>
      <c r="C59" s="242"/>
      <c r="D59" s="228"/>
      <c r="E59" s="79" t="s">
        <v>46</v>
      </c>
      <c r="F59" s="80" t="s">
        <v>129</v>
      </c>
      <c r="G59" s="104" t="s">
        <v>39</v>
      </c>
      <c r="H59" s="149" t="s">
        <v>130</v>
      </c>
      <c r="I59" s="100" t="str">
        <f t="shared" si="2"/>
        <v>Mantenimiento del control</v>
      </c>
      <c r="J59" s="96">
        <f t="shared" si="13"/>
        <v>120</v>
      </c>
      <c r="K59" s="101">
        <v>0.85123456789100005</v>
      </c>
      <c r="L59" s="96">
        <f t="shared" si="3"/>
        <v>120.851234567891</v>
      </c>
      <c r="M59" s="45"/>
      <c r="N59" s="45"/>
      <c r="O59" s="45"/>
      <c r="P59" s="45"/>
      <c r="Q59" s="45"/>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zoomScale="50" zoomScaleNormal="80" workbookViewId="0">
      <selection activeCell="G32" sqref="G32"/>
    </sheetView>
  </sheetViews>
  <sheetFormatPr baseColWidth="10" defaultColWidth="11.5" defaultRowHeight="15" x14ac:dyDescent="0.2"/>
  <cols>
    <col min="3" max="3" width="22.83203125" customWidth="1"/>
    <col min="4" max="4" width="22.5" customWidth="1"/>
    <col min="5" max="5" width="53.5" customWidth="1"/>
    <col min="7" max="7" width="28.33203125" customWidth="1"/>
    <col min="8" max="8" width="4.83203125" customWidth="1"/>
    <col min="9" max="9" width="15.33203125" customWidth="1"/>
    <col min="10" max="10" width="22.5" customWidth="1"/>
    <col min="11" max="29" width="11.5" style="1"/>
  </cols>
  <sheetData>
    <row r="1" spans="1:11" x14ac:dyDescent="0.2">
      <c r="A1" s="1"/>
      <c r="B1" s="1"/>
      <c r="C1" s="1"/>
      <c r="D1" s="1"/>
      <c r="E1" s="1"/>
      <c r="F1" s="1"/>
      <c r="G1" s="1"/>
      <c r="H1" s="1"/>
      <c r="I1" s="1"/>
      <c r="J1" s="1"/>
    </row>
    <row r="2" spans="1:11" s="1" customFormat="1" x14ac:dyDescent="0.2"/>
    <row r="3" spans="1:11" s="1" customFormat="1" x14ac:dyDescent="0.2"/>
    <row r="4" spans="1:11" x14ac:dyDescent="0.2">
      <c r="A4" s="1"/>
      <c r="B4" s="1"/>
      <c r="C4" s="1"/>
      <c r="D4" s="1"/>
      <c r="E4" s="1"/>
      <c r="F4" s="1"/>
      <c r="G4" s="1"/>
      <c r="H4" s="1"/>
      <c r="I4" s="1"/>
      <c r="J4" s="1"/>
    </row>
    <row r="5" spans="1:11" x14ac:dyDescent="0.2">
      <c r="A5" s="1"/>
      <c r="B5" s="1"/>
      <c r="C5" s="1"/>
      <c r="D5" s="1"/>
      <c r="E5" s="1"/>
      <c r="F5" s="1"/>
      <c r="G5" s="1"/>
      <c r="H5" s="1"/>
      <c r="I5" s="1"/>
      <c r="J5" s="1"/>
    </row>
    <row r="6" spans="1:11" ht="16" thickBot="1" x14ac:dyDescent="0.25">
      <c r="A6" s="1"/>
      <c r="B6" s="1"/>
      <c r="C6" s="1"/>
      <c r="D6" s="1"/>
      <c r="E6" s="1"/>
      <c r="F6" s="1"/>
      <c r="G6" s="1"/>
      <c r="H6" s="1"/>
      <c r="I6" s="1"/>
      <c r="J6" s="1"/>
    </row>
    <row r="7" spans="1:11" ht="26" thickBot="1" x14ac:dyDescent="0.25">
      <c r="A7" s="1"/>
      <c r="B7" s="1"/>
      <c r="C7" s="253" t="s">
        <v>131</v>
      </c>
      <c r="D7" s="254"/>
      <c r="E7" s="254"/>
      <c r="F7" s="254"/>
      <c r="G7" s="254"/>
      <c r="H7" s="254"/>
      <c r="I7" s="254"/>
      <c r="J7" s="254"/>
      <c r="K7" s="255"/>
    </row>
    <row r="8" spans="1:11" s="1" customFormat="1" ht="16" thickBot="1" x14ac:dyDescent="0.25">
      <c r="C8" s="36"/>
      <c r="D8" s="36"/>
      <c r="E8" s="37"/>
      <c r="F8" s="37"/>
      <c r="G8" s="37"/>
      <c r="H8" s="37"/>
      <c r="I8" s="47"/>
      <c r="J8" s="37"/>
      <c r="K8" s="37"/>
    </row>
    <row r="9" spans="1:11" ht="21" thickBot="1" x14ac:dyDescent="0.25">
      <c r="A9" s="1"/>
      <c r="B9" s="1"/>
      <c r="C9" s="162" t="s">
        <v>15</v>
      </c>
      <c r="D9" s="163"/>
      <c r="E9" s="163" t="s">
        <v>16</v>
      </c>
      <c r="F9" s="174"/>
      <c r="G9" s="37"/>
      <c r="H9" s="37"/>
      <c r="I9" s="47"/>
      <c r="J9" s="37"/>
      <c r="K9" s="37"/>
    </row>
    <row r="10" spans="1:11" ht="54" customHeight="1" x14ac:dyDescent="0.2">
      <c r="A10" s="1"/>
      <c r="B10" s="1"/>
      <c r="C10" s="175" t="s">
        <v>17</v>
      </c>
      <c r="D10" s="176"/>
      <c r="E10" s="177" t="s">
        <v>18</v>
      </c>
      <c r="F10" s="178"/>
      <c r="G10" s="38"/>
      <c r="H10" s="39">
        <v>1</v>
      </c>
      <c r="I10" s="47"/>
      <c r="J10" s="37"/>
      <c r="K10" s="37"/>
    </row>
    <row r="11" spans="1:11" ht="46.5" customHeight="1" x14ac:dyDescent="0.2">
      <c r="A11" s="1"/>
      <c r="B11" s="1"/>
      <c r="C11" s="164" t="s">
        <v>19</v>
      </c>
      <c r="D11" s="165"/>
      <c r="E11" s="166" t="s">
        <v>132</v>
      </c>
      <c r="F11" s="167"/>
      <c r="G11" s="40" t="s">
        <v>133</v>
      </c>
      <c r="H11" s="39">
        <v>0.75</v>
      </c>
      <c r="I11" s="47"/>
      <c r="J11" s="37"/>
      <c r="K11" s="37"/>
    </row>
    <row r="12" spans="1:11" ht="70.5" customHeight="1" thickBot="1" x14ac:dyDescent="0.25">
      <c r="A12" s="1"/>
      <c r="B12" s="1"/>
      <c r="C12" s="168" t="s">
        <v>21</v>
      </c>
      <c r="D12" s="169"/>
      <c r="E12" s="170" t="s">
        <v>134</v>
      </c>
      <c r="F12" s="171"/>
      <c r="G12" s="41"/>
      <c r="H12" s="39">
        <v>0.25</v>
      </c>
      <c r="I12" s="47"/>
      <c r="J12" s="37"/>
      <c r="K12" s="37"/>
    </row>
    <row r="13" spans="1:11" s="1" customFormat="1" x14ac:dyDescent="0.2"/>
    <row r="14" spans="1:11" s="1" customFormat="1" x14ac:dyDescent="0.2"/>
    <row r="15" spans="1:11" s="1" customFormat="1" x14ac:dyDescent="0.2"/>
    <row r="16" spans="1:11" s="1" customFormat="1" ht="16" thickBot="1" x14ac:dyDescent="0.25"/>
    <row r="17" spans="1:10" x14ac:dyDescent="0.2">
      <c r="A17" s="1"/>
      <c r="B17" s="1"/>
      <c r="C17" s="261" t="s">
        <v>135</v>
      </c>
      <c r="D17" s="263" t="s">
        <v>136</v>
      </c>
      <c r="E17" s="264"/>
      <c r="F17" s="265" t="s">
        <v>137</v>
      </c>
      <c r="G17" s="267" t="s">
        <v>138</v>
      </c>
      <c r="H17" s="35"/>
      <c r="I17" s="256" t="s">
        <v>139</v>
      </c>
      <c r="J17" s="256" t="s">
        <v>140</v>
      </c>
    </row>
    <row r="18" spans="1:10" ht="36" customHeight="1" thickBot="1" x14ac:dyDescent="0.25">
      <c r="A18" s="1"/>
      <c r="B18" s="1"/>
      <c r="C18" s="262"/>
      <c r="D18" s="105" t="s">
        <v>141</v>
      </c>
      <c r="E18" s="106" t="s">
        <v>27</v>
      </c>
      <c r="F18" s="266"/>
      <c r="G18" s="268"/>
      <c r="H18" s="35"/>
      <c r="I18" s="257"/>
      <c r="J18" s="257"/>
    </row>
    <row r="19" spans="1:10" ht="65.25" customHeight="1" x14ac:dyDescent="0.2">
      <c r="A19" s="1"/>
      <c r="B19" s="1"/>
      <c r="C19" s="124">
        <v>1</v>
      </c>
      <c r="D19" s="258" t="s">
        <v>32</v>
      </c>
      <c r="E19" s="107" t="str">
        <f>+IFERROR(INDEX(Hoja1!$E$2:$E$45,MATCH('Análisis Resultados'!C19,Hoja1!$H$2:$H$45,0)),"")</f>
        <v>Documento interno o adopción del MECI actualizado</v>
      </c>
      <c r="F19" s="108" t="str">
        <f>+IFERROR(VLOOKUP(C19,Hoja1!$H$2:$I$45,2,0),"")</f>
        <v>No</v>
      </c>
      <c r="G19" s="109"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I19" s="125">
        <f>+IF(F19="Si",1,IF(F19="En proceso",0.5,0))</f>
        <v>0</v>
      </c>
      <c r="J19" s="271">
        <f>+AVERAGE(I19:I30)</f>
        <v>0.875</v>
      </c>
    </row>
    <row r="20" spans="1:10" ht="45" x14ac:dyDescent="0.2">
      <c r="A20" s="1"/>
      <c r="B20" s="1"/>
      <c r="C20" s="124">
        <v>2</v>
      </c>
      <c r="D20" s="259"/>
      <c r="E20" s="110" t="str">
        <f>+IFERROR(INDEX(Hoja1!$E$2:$E$45,MATCH('Análisis Resultados'!C20,Hoja1!$H$2:$H$45,0)),"")</f>
        <v>Procesos de inducción, capacitación y bienestar social para sus servidores públicos, de manera directa o en asociación con otras entidades municipales</v>
      </c>
      <c r="F20" s="111" t="str">
        <f>+IFERROR(VLOOKUP(C20,Hoja1!$H$2:$I$45,2,0),"")</f>
        <v>En proceso</v>
      </c>
      <c r="G20" s="112"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I20" s="126">
        <f t="shared" ref="I20:I62" si="1">+IF(F20="Si",1,IF(F20="En proceso",0.5,0))</f>
        <v>0.5</v>
      </c>
      <c r="J20" s="272"/>
    </row>
    <row r="21" spans="1:10" ht="45" x14ac:dyDescent="0.2">
      <c r="A21" s="1"/>
      <c r="B21" s="1"/>
      <c r="C21" s="124">
        <v>3</v>
      </c>
      <c r="D21" s="259"/>
      <c r="E21" s="110" t="str">
        <f>+IFERROR(INDEX(Hoja1!$E$2:$E$45,MATCH('Análisis Resultados'!C21,Hoja1!$H$2:$H$45,0)),"")</f>
        <v>Un documento tal como un código de ética, integridad u otro que formalice los estándares de conducta, los principios institucionales o los valores del servicio público</v>
      </c>
      <c r="F21" s="111" t="str">
        <f>+IFERROR(VLOOKUP(C21,Hoja1!$H$2:$I$45,2,0),"")</f>
        <v>Si</v>
      </c>
      <c r="G21" s="112" t="str">
        <f t="shared" si="0"/>
        <v>Existe requerimiento pero se requiere actividades  dirigidas a su mantenimiento dentro del marco de las lineas de defensa.</v>
      </c>
      <c r="I21" s="126">
        <f t="shared" si="1"/>
        <v>1</v>
      </c>
      <c r="J21" s="272"/>
    </row>
    <row r="22" spans="1:10" ht="56.25" customHeight="1" x14ac:dyDescent="0.2">
      <c r="A22" s="1"/>
      <c r="B22" s="1"/>
      <c r="C22" s="124">
        <v>4</v>
      </c>
      <c r="D22" s="259"/>
      <c r="E22" s="110" t="str">
        <f>+IFERROR(INDEX(Hoja1!$E$2:$E$45,MATCH('Análisis Resultados'!C22,Hoja1!$H$2:$H$45,0)),"")</f>
        <v>Planes, programas y proyectos de acuerdo con las normas que rigen y atendiendo con su propósito fundamental institucional (misión)</v>
      </c>
      <c r="F22" s="111" t="str">
        <f>+IFERROR(VLOOKUP(C22,Hoja1!$H$2:$I$45,2,0),"")</f>
        <v>Si</v>
      </c>
      <c r="G22" s="112" t="str">
        <f t="shared" si="0"/>
        <v>Existe requerimiento pero se requiere actividades  dirigidas a su mantenimiento dentro del marco de las lineas de defensa.</v>
      </c>
      <c r="I22" s="126">
        <f t="shared" si="1"/>
        <v>1</v>
      </c>
      <c r="J22" s="272"/>
    </row>
    <row r="23" spans="1:10" ht="36" x14ac:dyDescent="0.2">
      <c r="A23" s="1"/>
      <c r="B23" s="1"/>
      <c r="C23" s="124">
        <v>5</v>
      </c>
      <c r="D23" s="259"/>
      <c r="E23" s="110" t="str">
        <f>+IFERROR(INDEX(Hoja1!$E$2:$E$45,MATCH('Análisis Resultados'!C23,Hoja1!$H$2:$H$45,0)),"")</f>
        <v>Una estructura organizacional formalizada (organigrama)</v>
      </c>
      <c r="F23" s="111" t="str">
        <f>+IFERROR(VLOOKUP(C23,Hoja1!$H$2:$I$45,2,0),"")</f>
        <v>Si</v>
      </c>
      <c r="G23" s="112" t="str">
        <f t="shared" si="0"/>
        <v>Existe requerimiento pero se requiere actividades  dirigidas a su mantenimiento dentro del marco de las lineas de defensa.</v>
      </c>
      <c r="I23" s="126">
        <f t="shared" si="1"/>
        <v>1</v>
      </c>
      <c r="J23" s="272"/>
    </row>
    <row r="24" spans="1:10" ht="36" x14ac:dyDescent="0.2">
      <c r="A24" s="1"/>
      <c r="B24" s="1"/>
      <c r="C24" s="124">
        <v>6</v>
      </c>
      <c r="D24" s="259"/>
      <c r="E24" s="110" t="str">
        <f>+IFERROR(INDEX(Hoja1!$E$2:$E$45,MATCH('Análisis Resultados'!C24,Hoja1!$H$2:$H$45,0)),"")</f>
        <v>Un manual de funciones que describa los empleos de la entidad</v>
      </c>
      <c r="F24" s="111" t="str">
        <f>+IFERROR(VLOOKUP(C24,Hoja1!$H$2:$I$45,2,0),"")</f>
        <v>Si</v>
      </c>
      <c r="G24" s="112" t="str">
        <f t="shared" si="0"/>
        <v>Existe requerimiento pero se requiere actividades  dirigidas a su mantenimiento dentro del marco de las lineas de defensa.</v>
      </c>
      <c r="I24" s="126">
        <f t="shared" si="1"/>
        <v>1</v>
      </c>
      <c r="J24" s="272"/>
    </row>
    <row r="25" spans="1:10" ht="45" x14ac:dyDescent="0.2">
      <c r="A25" s="1"/>
      <c r="B25" s="1"/>
      <c r="C25" s="124">
        <v>7</v>
      </c>
      <c r="D25" s="259"/>
      <c r="E25" s="110" t="str">
        <f>+IFERROR(INDEX(Hoja1!$E$2:$E$45,MATCH('Análisis Resultados'!C25,Hoja1!$H$2:$H$45,0)),"")</f>
        <v>La documentación de sus procesos y procedimientos o bien una lista de actividades principales que permitan conocer el estado de su gestión</v>
      </c>
      <c r="F25" s="111" t="str">
        <f>+IFERROR(VLOOKUP(C25,Hoja1!$H$2:$I$45,2,0),"")</f>
        <v>Si</v>
      </c>
      <c r="G25" s="112" t="str">
        <f t="shared" si="0"/>
        <v>Existe requerimiento pero se requiere actividades  dirigidas a su mantenimiento dentro del marco de las lineas de defensa.</v>
      </c>
      <c r="I25" s="126">
        <f t="shared" si="1"/>
        <v>1</v>
      </c>
      <c r="J25" s="272"/>
    </row>
    <row r="26" spans="1:10" ht="45" x14ac:dyDescent="0.2">
      <c r="A26" s="1"/>
      <c r="B26" s="1"/>
      <c r="C26" s="124">
        <v>8</v>
      </c>
      <c r="D26" s="259"/>
      <c r="E26" s="110" t="str">
        <f>+IFERROR(INDEX(Hoja1!$E$2:$E$45,MATCH('Análisis Resultados'!C26,Hoja1!$H$2:$H$45,0)),"")</f>
        <v>Vinculación de los servidores públicos de acuerdo con el marco normativo que les rige (carrera administrativa, libre nombramiento y remoción, entre otros)</v>
      </c>
      <c r="F26" s="111" t="str">
        <f>+IFERROR(VLOOKUP(C26,Hoja1!$H$2:$I$45,2,0),"")</f>
        <v>Si</v>
      </c>
      <c r="G26" s="112" t="str">
        <f t="shared" si="0"/>
        <v>Existe requerimiento pero se requiere actividades  dirigidas a su mantenimiento dentro del marco de las lineas de defensa.</v>
      </c>
      <c r="I26" s="126">
        <f t="shared" si="1"/>
        <v>1</v>
      </c>
      <c r="J26" s="272"/>
    </row>
    <row r="27" spans="1:10" ht="36" x14ac:dyDescent="0.2">
      <c r="A27" s="1"/>
      <c r="B27" s="1"/>
      <c r="C27" s="124">
        <v>9</v>
      </c>
      <c r="D27" s="259"/>
      <c r="E27" s="110" t="str">
        <f>+IFERROR(INDEX(Hoja1!$E$2:$E$45,MATCH('Análisis Resultados'!C27,Hoja1!$H$2:$H$45,0)),"")</f>
        <v>Evaluación a los servidores públicos de acuerdo con el marco normativo que le rige</v>
      </c>
      <c r="F27" s="111" t="str">
        <f>+IFERROR(VLOOKUP(C27,Hoja1!$H$2:$I$45,2,0),"")</f>
        <v>Si</v>
      </c>
      <c r="G27" s="112" t="str">
        <f t="shared" si="0"/>
        <v>Existe requerimiento pero se requiere actividades  dirigidas a su mantenimiento dentro del marco de las lineas de defensa.</v>
      </c>
      <c r="I27" s="126">
        <f t="shared" si="1"/>
        <v>1</v>
      </c>
      <c r="J27" s="272"/>
    </row>
    <row r="28" spans="1:10" ht="36" x14ac:dyDescent="0.2">
      <c r="A28" s="1"/>
      <c r="B28" s="1"/>
      <c r="C28" s="124">
        <v>10</v>
      </c>
      <c r="D28" s="259"/>
      <c r="E28" s="110" t="str">
        <f>+IFERROR(INDEX(Hoja1!$E$2:$E$45,MATCH('Análisis Resultados'!C28,Hoja1!$H$2:$H$45,0)),"")</f>
        <v>Procesos de desvinculación de servidores de acuerdo con lo previsto en la Constitución Política y las leyes</v>
      </c>
      <c r="F28" s="111" t="str">
        <f>+IFERROR(VLOOKUP(C28,Hoja1!$H$2:$I$45,2,0),"")</f>
        <v>Si</v>
      </c>
      <c r="G28" s="112" t="str">
        <f t="shared" si="0"/>
        <v>Existe requerimiento pero se requiere actividades  dirigidas a su mantenimiento dentro del marco de las lineas de defensa.</v>
      </c>
      <c r="I28" s="126">
        <f t="shared" si="1"/>
        <v>1</v>
      </c>
      <c r="J28" s="272"/>
    </row>
    <row r="29" spans="1:10" ht="36" x14ac:dyDescent="0.2">
      <c r="A29" s="1"/>
      <c r="B29" s="1"/>
      <c r="C29" s="124">
        <v>11</v>
      </c>
      <c r="D29" s="259"/>
      <c r="E29" s="110" t="str">
        <f>+IFERROR(INDEX(Hoja1!$E$2:$E$45,MATCH('Análisis Resultados'!C29,Hoja1!$H$2:$H$45,0)),"")</f>
        <v>Mecanismos de rendición de cuentas a la ciudadanía</v>
      </c>
      <c r="F29" s="111" t="str">
        <f>+IFERROR(VLOOKUP(C29,Hoja1!$H$2:$I$45,2,0),"")</f>
        <v>Si</v>
      </c>
      <c r="G29" s="112"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26">
        <f t="shared" si="1"/>
        <v>1</v>
      </c>
      <c r="J29" s="272"/>
    </row>
    <row r="30" spans="1:10" ht="37" thickBot="1" x14ac:dyDescent="0.25">
      <c r="A30" s="1"/>
      <c r="B30" s="1"/>
      <c r="C30" s="124">
        <v>12</v>
      </c>
      <c r="D30" s="260"/>
      <c r="E30" s="113" t="str">
        <f>+IFERROR(INDEX(Hoja1!$E$2:$E$45,MATCH('Análisis Resultados'!C30,Hoja1!$H$2:$H$45,0)),"")</f>
        <v>Presentación oportuna de sus informes de gestión a las autoridades competentes</v>
      </c>
      <c r="F30" s="114" t="str">
        <f>+IFERROR(VLOOKUP(C30,Hoja1!$H$2:$I$45,2,0),"")</f>
        <v>Si</v>
      </c>
      <c r="G30" s="115" t="str">
        <f t="shared" si="0"/>
        <v>Existe requerimiento pero se requiere actividades  dirigidas a su mantenimiento dentro del marco de las lineas de defensa.</v>
      </c>
      <c r="I30" s="127">
        <f t="shared" si="1"/>
        <v>1</v>
      </c>
      <c r="J30" s="273"/>
    </row>
    <row r="31" spans="1:10" ht="45" customHeight="1" x14ac:dyDescent="0.2">
      <c r="A31" s="1"/>
      <c r="B31" s="1"/>
      <c r="C31" s="124">
        <v>13</v>
      </c>
      <c r="D31" s="285" t="s">
        <v>66</v>
      </c>
      <c r="E31" s="107" t="str">
        <f>+IFERROR(INDEX(Hoja1!$E$2:$E$45,MATCH('Análisis Resultados'!C31,Hoja1!$H$2:$H$45,0)),"")</f>
        <v>La identificación de cambios en su entorno que pueden generar consecuencias negativas en su gestión</v>
      </c>
      <c r="F31" s="108" t="str">
        <f>+IFERROR(VLOOKUP(C31,Hoja1!$H$2:$I$45,2,0),"")</f>
        <v>En proceso</v>
      </c>
      <c r="G31" s="109" t="str">
        <f t="shared" si="0"/>
        <v>Se encuentra en proceso, pero requiere continuar con acciones dirigidas a contar con dicho aspecto de control.</v>
      </c>
      <c r="I31" s="125">
        <f t="shared" si="1"/>
        <v>0.5</v>
      </c>
      <c r="J31" s="269">
        <f>+AVERAGE(I31:I40)</f>
        <v>0.95</v>
      </c>
    </row>
    <row r="32" spans="1:10" ht="57" customHeight="1" x14ac:dyDescent="0.2">
      <c r="A32" s="1"/>
      <c r="B32" s="1"/>
      <c r="C32" s="124">
        <v>14</v>
      </c>
      <c r="D32" s="286"/>
      <c r="E32" s="110" t="str">
        <f>+IFERROR(INDEX(Hoja1!$E$2:$E$45,MATCH('Análisis Resultados'!C32,Hoja1!$H$2:$H$45,0)),"")</f>
        <v>La identificación de aquellos problemas o aspectos que pueden afectar el cumplimiento de los planes de la entidad y en general su gestión institucional (riesgos)</v>
      </c>
      <c r="F32" s="111" t="str">
        <f>+IFERROR(VLOOKUP(C32,Hoja1!$H$2:$I$45,2,0),"")</f>
        <v>Si</v>
      </c>
      <c r="G32" s="112" t="str">
        <f t="shared" si="0"/>
        <v>Existe requerimiento pero se requiere actividades  dirigidas a su mantenimiento dentro del marco de las lineas de defensa.</v>
      </c>
      <c r="I32" s="126">
        <f t="shared" si="1"/>
        <v>1</v>
      </c>
      <c r="J32" s="270"/>
    </row>
    <row r="33" spans="1:10" ht="54" customHeight="1" x14ac:dyDescent="0.2">
      <c r="A33" s="1"/>
      <c r="B33" s="1"/>
      <c r="C33" s="124">
        <v>15</v>
      </c>
      <c r="D33" s="286"/>
      <c r="E33" s="110" t="str">
        <f>+IFERROR(INDEX(Hoja1!$E$2:$E$45,MATCH('Análisis Resultados'!C33,Hoja1!$H$2:$H$45,0)),"")</f>
        <v>La identificación  de los riesgos relacionados con posibles actos de corrupción en el ejercicio de sus funciones</v>
      </c>
      <c r="F33" s="111" t="str">
        <f>+IFERROR(VLOOKUP(C33,Hoja1!$H$2:$I$45,2,0),"")</f>
        <v>Si</v>
      </c>
      <c r="G33" s="112" t="str">
        <f t="shared" si="0"/>
        <v>Existe requerimiento pero se requiere actividades  dirigidas a su mantenimiento dentro del marco de las lineas de defensa.</v>
      </c>
      <c r="I33" s="126">
        <f t="shared" si="1"/>
        <v>1</v>
      </c>
      <c r="J33" s="270"/>
    </row>
    <row r="34" spans="1:10" ht="45" x14ac:dyDescent="0.2">
      <c r="A34" s="1"/>
      <c r="B34" s="1"/>
      <c r="C34" s="124">
        <v>16</v>
      </c>
      <c r="D34" s="286"/>
      <c r="E34" s="110" t="str">
        <f>+IFERROR(INDEX(Hoja1!$E$2:$E$45,MATCH('Análisis Resultados'!C34,Hoja1!$H$2:$H$45,0)),"")</f>
        <v>Si su capacidad e infraestructura lo permite, identificación de riesgos asociados a las tecnologías de la información y las comunicaciones</v>
      </c>
      <c r="F34" s="111" t="str">
        <f>+IFERROR(VLOOKUP(C34,Hoja1!$H$2:$I$45,2,0),"")</f>
        <v>Si</v>
      </c>
      <c r="G34" s="112" t="str">
        <f t="shared" si="0"/>
        <v>Existe requerimiento pero se requiere actividades  dirigidas a su mantenimiento dentro del marco de las lineas de defensa.</v>
      </c>
      <c r="I34" s="126">
        <f t="shared" si="1"/>
        <v>1</v>
      </c>
      <c r="J34" s="270"/>
    </row>
    <row r="35" spans="1:10" ht="67.5" customHeight="1" x14ac:dyDescent="0.2">
      <c r="A35" s="1"/>
      <c r="B35" s="1"/>
      <c r="C35" s="124">
        <v>17</v>
      </c>
      <c r="D35" s="286"/>
      <c r="E35" s="110" t="str">
        <f>+IFERROR(INDEX(Hoja1!$E$2:$E$45,MATCH('Análisis Resultados'!C35,Hoja1!$H$2:$H$45,0)),"")</f>
        <v>Hacen seguimiento a los problemas (riesgos)  que pueden afectar el cumplimiento de sus procesos, programas o proyectos a cargo</v>
      </c>
      <c r="F35" s="111" t="str">
        <f>+IFERROR(VLOOKUP(C35,Hoja1!$H$2:$I$45,2,0),"")</f>
        <v>Si</v>
      </c>
      <c r="G35" s="112" t="str">
        <f t="shared" si="0"/>
        <v>Existe requerimiento pero se requiere actividades  dirigidas a su mantenimiento dentro del marco de las lineas de defensa.</v>
      </c>
      <c r="I35" s="126">
        <f t="shared" si="1"/>
        <v>1</v>
      </c>
      <c r="J35" s="270"/>
    </row>
    <row r="36" spans="1:10" ht="36" x14ac:dyDescent="0.2">
      <c r="A36" s="1"/>
      <c r="B36" s="1"/>
      <c r="C36" s="124">
        <v>18</v>
      </c>
      <c r="D36" s="286"/>
      <c r="E36" s="110" t="str">
        <f>+IFERROR(INDEX(Hoja1!$E$2:$E$45,MATCH('Análisis Resultados'!C36,Hoja1!$H$2:$H$45,0)),"")</f>
        <v>Informan de manera periódica a quien corresponda sobre el desempeño de las actividades de gestión de riesgos</v>
      </c>
      <c r="F36" s="111" t="str">
        <f>+IFERROR(VLOOKUP(C36,Hoja1!$H$2:$I$45,2,0),"")</f>
        <v>Si</v>
      </c>
      <c r="G36" s="112" t="str">
        <f t="shared" si="0"/>
        <v>Existe requerimiento pero se requiere actividades  dirigidas a su mantenimiento dentro del marco de las lineas de defensa.</v>
      </c>
      <c r="I36" s="126">
        <f t="shared" si="1"/>
        <v>1</v>
      </c>
      <c r="J36" s="270"/>
    </row>
    <row r="37" spans="1:10" ht="57" customHeight="1" x14ac:dyDescent="0.2">
      <c r="A37" s="1"/>
      <c r="B37" s="1"/>
      <c r="C37" s="124">
        <v>19</v>
      </c>
      <c r="D37" s="286"/>
      <c r="E37" s="110" t="str">
        <f>+IFERROR(INDEX(Hoja1!$E$2:$E$45,MATCH('Análisis Resultados'!C37,Hoja1!$H$2:$H$45,0)),"")</f>
        <v>Identifican deficiencias en las maneras de  controlar los riesgos o problemas en sus procesos, programas o proyectos, y propone los ajustes necesarios</v>
      </c>
      <c r="F37" s="111" t="str">
        <f>+IFERROR(VLOOKUP(C37,Hoja1!$H$2:$I$45,2,0),"")</f>
        <v>Si</v>
      </c>
      <c r="G37" s="112" t="str">
        <f t="shared" si="0"/>
        <v>Existe requerimiento pero se requiere actividades  dirigidas a su mantenimiento dentro del marco de las lineas de defensa.</v>
      </c>
      <c r="I37" s="126">
        <f t="shared" si="1"/>
        <v>1</v>
      </c>
      <c r="J37" s="270"/>
    </row>
    <row r="38" spans="1:10" ht="36" x14ac:dyDescent="0.2">
      <c r="A38" s="1"/>
      <c r="B38" s="1"/>
      <c r="C38" s="124">
        <v>20</v>
      </c>
      <c r="D38" s="286"/>
      <c r="E38" s="110" t="str">
        <f>+IFERROR(INDEX(Hoja1!$E$2:$E$45,MATCH('Análisis Resultados'!C38,Hoja1!$H$2:$H$45,0)),"")</f>
        <v>Se definen espacios de reunión para conocerlos y proponer acciones para su solución</v>
      </c>
      <c r="F38" s="111" t="str">
        <f>+IFERROR(VLOOKUP(C38,Hoja1!$H$2:$I$45,2,0),"")</f>
        <v>Si</v>
      </c>
      <c r="G38" s="112" t="str">
        <f t="shared" si="0"/>
        <v>Existe requerimiento pero se requiere actividades  dirigidas a su mantenimiento dentro del marco de las lineas de defensa.</v>
      </c>
      <c r="I38" s="126">
        <f t="shared" si="1"/>
        <v>1</v>
      </c>
      <c r="J38" s="270"/>
    </row>
    <row r="39" spans="1:10" ht="36" x14ac:dyDescent="0.2">
      <c r="A39" s="1"/>
      <c r="B39" s="1"/>
      <c r="C39" s="124">
        <v>21</v>
      </c>
      <c r="D39" s="286"/>
      <c r="E39" s="110" t="str">
        <f>+IFERROR(INDEX(Hoja1!$E$2:$E$45,MATCH('Análisis Resultados'!C39,Hoja1!$H$2:$H$45,0)),"")</f>
        <v>Cada líder del equipo autónomamente toma las acciones para solucionarlos.</v>
      </c>
      <c r="F39" s="111" t="str">
        <f>+IFERROR(VLOOKUP(C39,Hoja1!$H$2:$I$45,2,0),"")</f>
        <v>Si</v>
      </c>
      <c r="G39" s="112" t="str">
        <f t="shared" si="0"/>
        <v>Existe requerimiento pero se requiere actividades  dirigidas a su mantenimiento dentro del marco de las lineas de defensa.</v>
      </c>
      <c r="I39" s="126">
        <f t="shared" si="1"/>
        <v>1</v>
      </c>
      <c r="J39" s="270"/>
    </row>
    <row r="40" spans="1:10" ht="37" thickBot="1" x14ac:dyDescent="0.25">
      <c r="A40" s="1"/>
      <c r="B40" s="1"/>
      <c r="C40" s="124">
        <v>22</v>
      </c>
      <c r="D40" s="286"/>
      <c r="E40" s="116" t="str">
        <f>+IFERROR(INDEX(Hoja1!$E$2:$E$45,MATCH('Análisis Resultados'!C40,Hoja1!$H$2:$H$45,0)),"")</f>
        <v>Solamente hasta que un organismo de control actúa se definen acciones de mejora.</v>
      </c>
      <c r="F40" s="117" t="str">
        <f>+IFERROR(VLOOKUP(C40,Hoja1!$H$2:$I$45,2,0),"")</f>
        <v>Si</v>
      </c>
      <c r="G40" s="118" t="str">
        <f t="shared" si="0"/>
        <v>Existe requerimiento pero se requiere actividades  dirigidas a su mantenimiento dentro del marco de las lineas de defensa.</v>
      </c>
      <c r="I40" s="128">
        <f t="shared" si="1"/>
        <v>1</v>
      </c>
      <c r="J40" s="270"/>
    </row>
    <row r="41" spans="1:10" ht="87.75" customHeight="1" x14ac:dyDescent="0.2">
      <c r="A41" s="1"/>
      <c r="B41" s="1"/>
      <c r="C41" s="124">
        <v>23</v>
      </c>
      <c r="D41" s="281" t="s">
        <v>85</v>
      </c>
      <c r="E41" s="107" t="str">
        <f>+IFERROR(INDEX(Hoja1!$E$2:$E$45,MATCH('Análisis Resultados'!C41,Hoja1!$H$2:$H$45,0)),"")</f>
        <v>Mecanismos de verificación de si se están o no mitigando los riesgos, o en su defecto, elaboración de planes de contingencia para subsanar sus consecuencias</v>
      </c>
      <c r="F41" s="108" t="str">
        <f>+IFERROR(VLOOKUP(C41,Hoja1!$H$2:$I$45,2,0),"")</f>
        <v>En proceso</v>
      </c>
      <c r="G41" s="109" t="str">
        <f t="shared" si="0"/>
        <v>Se encuentra en proceso, pero requiere continuar con acciones dirigidas a contar con dicho aspecto de control.</v>
      </c>
      <c r="I41" s="125">
        <f t="shared" si="1"/>
        <v>0.5</v>
      </c>
      <c r="J41" s="269">
        <f>+AVERAGE(I41:I45)</f>
        <v>0.8</v>
      </c>
    </row>
    <row r="42" spans="1:10" ht="45" x14ac:dyDescent="0.2">
      <c r="A42" s="1"/>
      <c r="B42" s="1"/>
      <c r="C42" s="124">
        <v>24</v>
      </c>
      <c r="D42" s="282"/>
      <c r="E42" s="110" t="str">
        <f>+IFERROR(INDEX(Hoja1!$E$2:$E$45,MATCH('Análisis Resultados'!C42,Hoja1!$H$2:$H$45,0)),"")</f>
        <v>Planes, acciones o estrategias que permitan subsanar las consecuencias de la materialización de los riesgos, cuando se presentan</v>
      </c>
      <c r="F42" s="111" t="str">
        <f>+IFERROR(VLOOKUP(C42,Hoja1!$H$2:$I$45,2,0),"")</f>
        <v>En proceso</v>
      </c>
      <c r="G42" s="112" t="str">
        <f t="shared" si="0"/>
        <v>Se encuentra en proceso, pero requiere continuar con acciones dirigidas a contar con dicho aspecto de control.</v>
      </c>
      <c r="I42" s="126">
        <f t="shared" si="1"/>
        <v>0.5</v>
      </c>
      <c r="J42" s="270"/>
    </row>
    <row r="43" spans="1:10" ht="85.5" customHeight="1" x14ac:dyDescent="0.2">
      <c r="A43" s="1"/>
      <c r="B43" s="1"/>
      <c r="C43" s="124">
        <v>25</v>
      </c>
      <c r="D43" s="282"/>
      <c r="E43" s="110" t="str">
        <f>+IFERROR(INDEX(Hoja1!$E$2:$E$45,MATCH('Análisis Resultados'!C43,Hoja1!$H$2:$H$45,0)),"")</f>
        <v>La definición de acciones o actividades para para dar tratamiento a los problemas identificados (mitigación de riesgos), incluyendo aquellos asociados a posibles actos de corrupción</v>
      </c>
      <c r="F43" s="111" t="str">
        <f>+IFERROR(VLOOKUP(C43,Hoja1!$H$2:$I$45,2,0),"")</f>
        <v>Si</v>
      </c>
      <c r="G43" s="112" t="str">
        <f t="shared" si="0"/>
        <v>Existe requerimiento pero se requiere actividades  dirigidas a su mantenimiento dentro del marco de las lineas de defensa.</v>
      </c>
      <c r="I43" s="126">
        <f t="shared" si="1"/>
        <v>1</v>
      </c>
      <c r="J43" s="270"/>
    </row>
    <row r="44" spans="1:10" ht="57" customHeight="1" x14ac:dyDescent="0.2">
      <c r="A44" s="1"/>
      <c r="B44" s="1"/>
      <c r="C44" s="124">
        <v>26</v>
      </c>
      <c r="D44" s="282"/>
      <c r="E44" s="110"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11" t="str">
        <f>+IFERROR(VLOOKUP(C44,Hoja1!$H$2:$I$45,2,0),"")</f>
        <v>Si</v>
      </c>
      <c r="G44" s="112" t="str">
        <f t="shared" si="0"/>
        <v>Existe requerimiento pero se requiere actividades  dirigidas a su mantenimiento dentro del marco de las lineas de defensa.</v>
      </c>
      <c r="I44" s="126">
        <f t="shared" si="1"/>
        <v>1</v>
      </c>
      <c r="J44" s="270"/>
    </row>
    <row r="45" spans="1:10" ht="57" customHeight="1" thickBot="1" x14ac:dyDescent="0.25">
      <c r="A45" s="1"/>
      <c r="B45" s="1"/>
      <c r="C45" s="124">
        <v>27</v>
      </c>
      <c r="D45" s="283"/>
      <c r="E45" s="113" t="str">
        <f>+IFERROR(INDEX(Hoja1!$E$2:$E$45,MATCH('Análisis Resultados'!C45,Hoja1!$H$2:$H$45,0)),"")</f>
        <v>Un plan anticorrupción y de servicio al ciudadano con los temas que le aplican, publicado en algún medio para conocimiento de la ciudadanía</v>
      </c>
      <c r="F45" s="114" t="str">
        <f>+IFERROR(VLOOKUP(C45,Hoja1!$H$2:$I$45,2,0),"")</f>
        <v>Si</v>
      </c>
      <c r="G45" s="115" t="str">
        <f t="shared" si="0"/>
        <v>Existe requerimiento pero se requiere actividades  dirigidas a su mantenimiento dentro del marco de las lineas de defensa.</v>
      </c>
      <c r="I45" s="127">
        <f t="shared" si="1"/>
        <v>1</v>
      </c>
      <c r="J45" s="284"/>
    </row>
    <row r="46" spans="1:10" ht="63.75" customHeight="1" x14ac:dyDescent="0.2">
      <c r="A46" s="1"/>
      <c r="B46" s="1"/>
      <c r="C46" s="124">
        <v>28</v>
      </c>
      <c r="D46" s="280" t="s">
        <v>94</v>
      </c>
      <c r="E46" s="119" t="str">
        <f>+IFERROR(INDEX(Hoja1!$E$2:$E$45,MATCH('Análisis Resultados'!C46,Hoja1!$H$2:$H$45,0)),"")</f>
        <v xml:space="preserve">Lineamientos para dar tratamiento a la información de carácter reservado </v>
      </c>
      <c r="F46" s="120" t="str">
        <f>+IFERROR(VLOOKUP(C46,Hoja1!$H$2:$I$45,2,0),"")</f>
        <v>No</v>
      </c>
      <c r="G46" s="121" t="str">
        <f t="shared" si="0"/>
        <v>No se encuentra el aspecto  por lo tanto la entidad debera generar acciones dirigidas a que se cumpla con el requerimiento.</v>
      </c>
      <c r="I46" s="129">
        <f t="shared" si="1"/>
        <v>0</v>
      </c>
      <c r="J46" s="270">
        <f>+AVERAGE(I46:I52)</f>
        <v>0.7142857142857143</v>
      </c>
    </row>
    <row r="47" spans="1:10" ht="92.25" customHeight="1" x14ac:dyDescent="0.2">
      <c r="A47" s="1"/>
      <c r="B47" s="1"/>
      <c r="C47" s="124">
        <v>29</v>
      </c>
      <c r="D47" s="280"/>
      <c r="E47" s="110" t="str">
        <f>+IFERROR(INDEX(Hoja1!$E$2:$E$45,MATCH('Análisis Resultados'!C47,Hoja1!$H$2:$H$45,0)),"")</f>
        <v>Identificación de información que produce en el marco de su gestión (Para los ciudadanos, organismos de control, organismos gubernamentales, entre otros)</v>
      </c>
      <c r="F47" s="111" t="str">
        <f>+IFERROR(VLOOKUP(C47,Hoja1!$H$2:$I$45,2,0),"")</f>
        <v>En proceso</v>
      </c>
      <c r="G47" s="122" t="str">
        <f t="shared" si="0"/>
        <v>Se encuentra en proceso, pero requiere continuar con acciones dirigidas a contar con dicho aspecto de control.</v>
      </c>
      <c r="I47" s="130">
        <f t="shared" si="1"/>
        <v>0.5</v>
      </c>
      <c r="J47" s="270"/>
    </row>
    <row r="48" spans="1:10" ht="66.75" customHeight="1" x14ac:dyDescent="0.2">
      <c r="A48" s="1"/>
      <c r="B48" s="1"/>
      <c r="C48" s="124">
        <v>30</v>
      </c>
      <c r="D48" s="280"/>
      <c r="E48" s="110" t="str">
        <f>+IFERROR(INDEX(Hoja1!$E$2:$E$45,MATCH('Análisis Resultados'!C48,Hoja1!$H$2:$H$45,0)),"")</f>
        <v>Identificación de información necesaria para la operación de la entidad (normograma, presupuesto, talento humano, infraestructura física y tecnológica)</v>
      </c>
      <c r="F48" s="111" t="str">
        <f>+IFERROR(VLOOKUP(C48,Hoja1!$H$2:$I$45,2,0),"")</f>
        <v>En proceso</v>
      </c>
      <c r="G48" s="122" t="str">
        <f t="shared" si="0"/>
        <v>Se encuentra en proceso, pero requiere continuar con acciones dirigidas a contar con dicho aspecto de control.</v>
      </c>
      <c r="I48" s="130">
        <f t="shared" si="1"/>
        <v>0.5</v>
      </c>
      <c r="J48" s="270"/>
    </row>
    <row r="49" spans="1:10" ht="60" customHeight="1" x14ac:dyDescent="0.2">
      <c r="A49" s="1"/>
      <c r="B49" s="1"/>
      <c r="C49" s="124">
        <v>31</v>
      </c>
      <c r="D49" s="280"/>
      <c r="E49" s="110" t="str">
        <f>+IFERROR(INDEX(Hoja1!$E$2:$E$45,MATCH('Análisis Resultados'!C49,Hoja1!$H$2:$H$45,0)),"")</f>
        <v>Responsables de la información institucional</v>
      </c>
      <c r="F49" s="111" t="str">
        <f>+IFERROR(VLOOKUP(C49,Hoja1!$H$2:$I$45,2,0),"")</f>
        <v>Si</v>
      </c>
      <c r="G49" s="122" t="str">
        <f t="shared" si="0"/>
        <v>Existe requerimiento pero se requiere actividades  dirigidas a su mantenimiento dentro del marco de las lineas de defensa.</v>
      </c>
      <c r="I49" s="130">
        <f t="shared" si="1"/>
        <v>1</v>
      </c>
      <c r="J49" s="270"/>
    </row>
    <row r="50" spans="1:10" ht="57" customHeight="1" x14ac:dyDescent="0.2">
      <c r="A50" s="1"/>
      <c r="B50" s="1"/>
      <c r="C50" s="124">
        <v>32</v>
      </c>
      <c r="D50" s="280"/>
      <c r="E50" s="110" t="str">
        <f>+IFERROR(INDEX(Hoja1!$E$2:$E$45,MATCH('Análisis Resultados'!C50,Hoja1!$H$2:$H$45,0)),"")</f>
        <v>Canales de comunicación con los ciudadanos</v>
      </c>
      <c r="F50" s="111" t="str">
        <f>+IFERROR(VLOOKUP(C50,Hoja1!$H$2:$I$45,2,0),"")</f>
        <v>Si</v>
      </c>
      <c r="G50" s="122" t="str">
        <f t="shared" si="0"/>
        <v>Existe requerimiento pero se requiere actividades  dirigidas a su mantenimiento dentro del marco de las lineas de defensa.</v>
      </c>
      <c r="I50" s="130">
        <f t="shared" si="1"/>
        <v>1</v>
      </c>
      <c r="J50" s="270"/>
    </row>
    <row r="51" spans="1:10" ht="57" customHeight="1" x14ac:dyDescent="0.2">
      <c r="A51" s="1"/>
      <c r="B51" s="1"/>
      <c r="C51" s="124">
        <v>33</v>
      </c>
      <c r="D51" s="280"/>
      <c r="E51" s="110" t="str">
        <f>+IFERROR(INDEX(Hoja1!$E$2:$E$45,MATCH('Análisis Resultados'!C51,Hoja1!$H$2:$H$45,0)),"")</f>
        <v>Canales de comunicación o mecanismos de reporte de información a otros organismos gubernamentales o de control</v>
      </c>
      <c r="F51" s="111" t="str">
        <f>+IFERROR(VLOOKUP(C51,Hoja1!$H$2:$I$45,2,0),"")</f>
        <v>Si</v>
      </c>
      <c r="G51" s="122" t="str">
        <f t="shared" si="0"/>
        <v>Existe requerimiento pero se requiere actividades  dirigidas a su mantenimiento dentro del marco de las lineas de defensa.</v>
      </c>
      <c r="I51" s="130">
        <f t="shared" si="1"/>
        <v>1</v>
      </c>
      <c r="J51" s="270"/>
    </row>
    <row r="52" spans="1:10" ht="46" thickBot="1" x14ac:dyDescent="0.25">
      <c r="A52" s="1"/>
      <c r="B52" s="1"/>
      <c r="C52" s="124">
        <v>34</v>
      </c>
      <c r="D52" s="280"/>
      <c r="E52" s="116" t="str">
        <f>+IFERROR(INDEX(Hoja1!$E$2:$E$45,MATCH('Análisis Resultados'!C52,Hoja1!$H$2:$H$45,0)),"")</f>
        <v>Si su capacidad e infraestructura lo permite, tecnologías de la información y las comunicaciones que soporten estos procesos</v>
      </c>
      <c r="F52" s="117" t="str">
        <f>+IFERROR(VLOOKUP(C52,Hoja1!$H$2:$I$45,2,0),"")</f>
        <v>Si</v>
      </c>
      <c r="G52" s="123" t="str">
        <f t="shared" si="0"/>
        <v>Existe requerimiento pero se requiere actividades  dirigidas a su mantenimiento dentro del marco de las lineas de defensa.</v>
      </c>
      <c r="I52" s="131">
        <f t="shared" si="1"/>
        <v>1</v>
      </c>
      <c r="J52" s="270"/>
    </row>
    <row r="53" spans="1:10" ht="41.25" customHeight="1" x14ac:dyDescent="0.2">
      <c r="A53" s="1"/>
      <c r="B53" s="1"/>
      <c r="C53" s="124">
        <v>35</v>
      </c>
      <c r="D53" s="274" t="s">
        <v>110</v>
      </c>
      <c r="E53" s="107" t="str">
        <f>+IFERROR(INDEX(Hoja1!$E$2:$E$45,MATCH('Análisis Resultados'!C53,Hoja1!$H$2:$H$45,0)),"")</f>
        <v>Diseñar acciones adecuadas para controlar los problemas que afectan el cumplimiento de las metas y objetivos institucionales (riesgos).</v>
      </c>
      <c r="F53" s="108" t="str">
        <f>+IFERROR(VLOOKUP(C53,Hoja1!$H$2:$I$45,2,0),"")</f>
        <v>En proceso</v>
      </c>
      <c r="G53" s="109" t="str">
        <f t="shared" si="0"/>
        <v>Se encuentra en proceso, pero requiere continuar con acciones dirigidas a contar con dicho aspecto de control.</v>
      </c>
      <c r="I53" s="125">
        <f t="shared" si="1"/>
        <v>0.5</v>
      </c>
      <c r="J53" s="277">
        <f>+AVERAGE(I53:I62)</f>
        <v>0.9</v>
      </c>
    </row>
    <row r="54" spans="1:10" ht="58.5" customHeight="1" x14ac:dyDescent="0.2">
      <c r="A54" s="1"/>
      <c r="B54" s="1"/>
      <c r="C54" s="124">
        <v>36</v>
      </c>
      <c r="D54" s="275"/>
      <c r="E54" s="110" t="str">
        <f>+IFERROR(INDEX(Hoja1!$E$2:$E$45,MATCH('Análisis Resultados'!C54,Hoja1!$H$2:$H$45,0)),"")</f>
        <v>Ejecutar las acciones de acuerdo a como se diseñaron previamente.</v>
      </c>
      <c r="F54" s="111" t="str">
        <f>+IFERROR(VLOOKUP(C54,Hoja1!$H$2:$I$45,2,0),"")</f>
        <v>En proceso</v>
      </c>
      <c r="G54" s="112" t="str">
        <f t="shared" si="0"/>
        <v>Se encuentra en proceso, pero requiere continuar con acciones dirigidas a contar con dicho aspecto de control.</v>
      </c>
      <c r="I54" s="126">
        <f t="shared" si="1"/>
        <v>0.5</v>
      </c>
      <c r="J54" s="278"/>
    </row>
    <row r="55" spans="1:10" s="1" customFormat="1" ht="84.75" customHeight="1" x14ac:dyDescent="0.2">
      <c r="C55" s="124">
        <v>37</v>
      </c>
      <c r="D55" s="275"/>
      <c r="E55" s="110" t="str">
        <f>+IFERROR(INDEX(Hoja1!$E$2:$E$45,MATCH('Análisis Resultados'!C55,Hoja1!$H$2:$H$45,0)),"")</f>
        <v>Mecanismos de evaluación de la gestión (cronogramas, indicadores, listas de chequeo u otros)</v>
      </c>
      <c r="F55" s="111" t="str">
        <f>+IFERROR(VLOOKUP(C55,Hoja1!$H$2:$I$45,2,0),"")</f>
        <v>Si</v>
      </c>
      <c r="G55" s="112" t="str">
        <f t="shared" si="0"/>
        <v>Existe requerimiento pero se requiere actividades  dirigidas a su mantenimiento dentro del marco de las lineas de defensa.</v>
      </c>
      <c r="I55" s="126">
        <f t="shared" si="1"/>
        <v>1</v>
      </c>
      <c r="J55" s="278"/>
    </row>
    <row r="56" spans="1:10" s="1" customFormat="1" ht="78.75" customHeight="1" x14ac:dyDescent="0.2">
      <c r="C56" s="124">
        <v>38</v>
      </c>
      <c r="D56" s="275"/>
      <c r="E56" s="110" t="str">
        <f>+IFERROR(INDEX(Hoja1!$E$2:$E$45,MATCH('Análisis Resultados'!C56,Hoja1!$H$2:$H$45,0)),"")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6" s="111" t="str">
        <f>+IFERROR(VLOOKUP(C56,Hoja1!$H$2:$I$45,2,0),"")</f>
        <v>Si</v>
      </c>
      <c r="G56" s="112" t="str">
        <f t="shared" si="0"/>
        <v>Existe requerimiento pero se requiere actividades  dirigidas a su mantenimiento dentro del marco de las lineas de defensa.</v>
      </c>
      <c r="I56" s="126">
        <f t="shared" si="1"/>
        <v>1</v>
      </c>
      <c r="J56" s="278"/>
    </row>
    <row r="57" spans="1:10" s="1" customFormat="1" ht="54.75" customHeight="1" x14ac:dyDescent="0.2">
      <c r="C57" s="124">
        <v>39</v>
      </c>
      <c r="D57" s="275"/>
      <c r="E57" s="110" t="str">
        <f>+IFERROR(INDEX(Hoja1!$E$2:$E$45,MATCH('Análisis Resultados'!C57,Hoja1!$H$2:$H$45,0)),"")</f>
        <v>Medidas correctivas en caso de detectarse deficiencias en los ejercicios de evaluación, seguimiento o auditoría</v>
      </c>
      <c r="F57" s="111" t="str">
        <f>+IFERROR(VLOOKUP(C57,Hoja1!$H$2:$I$45,2,0),"")</f>
        <v>Si</v>
      </c>
      <c r="G57" s="112" t="str">
        <f t="shared" si="0"/>
        <v>Existe requerimiento pero se requiere actividades  dirigidas a su mantenimiento dentro del marco de las lineas de defensa.</v>
      </c>
      <c r="I57" s="126">
        <f t="shared" si="1"/>
        <v>1</v>
      </c>
      <c r="J57" s="278"/>
    </row>
    <row r="58" spans="1:10" s="1" customFormat="1" ht="68.25" customHeight="1" x14ac:dyDescent="0.2">
      <c r="C58" s="124">
        <v>40</v>
      </c>
      <c r="D58" s="275"/>
      <c r="E58" s="110" t="str">
        <f>+IFERROR(INDEX(Hoja1!$E$2:$E$45,MATCH('Análisis Resultados'!C58,Hoja1!$H$2:$H$45,0)),"")</f>
        <v>Seguimiento a los planes de mejoramiento suscritos con instancias de control internas o externas</v>
      </c>
      <c r="F58" s="111" t="str">
        <f>+IFERROR(VLOOKUP(C58,Hoja1!$H$2:$I$45,2,0),"")</f>
        <v>Si</v>
      </c>
      <c r="G58" s="112" t="str">
        <f t="shared" si="0"/>
        <v>Existe requerimiento pero se requiere actividades  dirigidas a su mantenimiento dentro del marco de las lineas de defensa.</v>
      </c>
      <c r="I58" s="126">
        <f t="shared" si="1"/>
        <v>1</v>
      </c>
      <c r="J58" s="278"/>
    </row>
    <row r="59" spans="1:10" s="1" customFormat="1" ht="45" customHeight="1" x14ac:dyDescent="0.2">
      <c r="C59" s="124">
        <v>41</v>
      </c>
      <c r="D59" s="275"/>
      <c r="E59" s="110" t="str">
        <f>+IFERROR(INDEX(Hoja1!$E$2:$E$45,MATCH('Análisis Resultados'!C59,Hoja1!$H$2:$H$45,0)),"")</f>
        <v>La entidad participa en el  Comité Municipal de Auditoría?</v>
      </c>
      <c r="F59" s="111" t="str">
        <f>+IFERROR(VLOOKUP(C59,Hoja1!$H$2:$I$45,2,0),"")</f>
        <v>Si</v>
      </c>
      <c r="G59" s="112" t="str">
        <f t="shared" si="0"/>
        <v>Existe requerimiento pero se requiere actividades  dirigidas a su mantenimiento dentro del marco de las lineas de defensa.</v>
      </c>
      <c r="I59" s="126">
        <f t="shared" si="1"/>
        <v>1</v>
      </c>
      <c r="J59" s="278"/>
    </row>
    <row r="60" spans="1:10" s="1" customFormat="1" ht="51.75" customHeight="1" x14ac:dyDescent="0.2">
      <c r="C60" s="124">
        <v>42</v>
      </c>
      <c r="D60" s="275"/>
      <c r="E60" s="110" t="str">
        <f>+IFERROR(INDEX(Hoja1!$E$2:$E$45,MATCH('Análisis Resultados'!C60,Hoja1!$H$2:$H$45,0)),"")</f>
        <v>Evitar que los problemas (riesgos) obstaculicen el cumplimiento de los objetivos.</v>
      </c>
      <c r="F60" s="111" t="str">
        <f>+IFERROR(VLOOKUP(C60,Hoja1!$H$2:$I$45,2,0),"")</f>
        <v>Si</v>
      </c>
      <c r="G60" s="112" t="str">
        <f t="shared" si="0"/>
        <v>Existe requerimiento pero se requiere actividades  dirigidas a su mantenimiento dentro del marco de las lineas de defensa.</v>
      </c>
      <c r="I60" s="126">
        <f t="shared" si="1"/>
        <v>1</v>
      </c>
      <c r="J60" s="278"/>
    </row>
    <row r="61" spans="1:10" s="1" customFormat="1" ht="84" customHeight="1" x14ac:dyDescent="0.2">
      <c r="C61" s="124">
        <v>43</v>
      </c>
      <c r="D61" s="275"/>
      <c r="E61" s="110" t="str">
        <f>+IFERROR(INDEX(Hoja1!$E$2:$E$45,MATCH('Análisis Resultados'!C61,Hoja1!$H$2:$H$45,0)),"")</f>
        <v>Controlar los puntos críticos en los procesos.</v>
      </c>
      <c r="F61" s="111" t="str">
        <f>+IFERROR(VLOOKUP(C61,Hoja1!$H$2:$I$45,2,0),"")</f>
        <v>Si</v>
      </c>
      <c r="G61" s="112" t="str">
        <f t="shared" si="0"/>
        <v>Existe requerimiento pero se requiere actividades  dirigidas a su mantenimiento dentro del marco de las lineas de defensa.</v>
      </c>
      <c r="I61" s="126">
        <f t="shared" si="1"/>
        <v>1</v>
      </c>
      <c r="J61" s="278"/>
    </row>
    <row r="62" spans="1:10" s="1" customFormat="1" ht="60" customHeight="1" thickBot="1" x14ac:dyDescent="0.25">
      <c r="C62" s="124">
        <v>44</v>
      </c>
      <c r="D62" s="276"/>
      <c r="E62" s="113" t="str">
        <f>+IFERROR(INDEX(Hoja1!$E$2:$E$45,MATCH('Análisis Resultados'!C62,Hoja1!$H$2:$H$45,0)),"")</f>
        <v>No se gestionan los problemas que afectan el cumplimiento de las funciones y objetivos institucionales(riesgos).</v>
      </c>
      <c r="F62" s="114" t="str">
        <f>+IFERROR(VLOOKUP(C62,Hoja1!$H$2:$I$45,2,0),"")</f>
        <v>Si</v>
      </c>
      <c r="G62" s="115" t="str">
        <f t="shared" si="0"/>
        <v>Existe requerimiento pero se requiere actividades  dirigidas a su mantenimiento dentro del marco de las lineas de defensa.</v>
      </c>
      <c r="I62" s="127">
        <f t="shared" si="1"/>
        <v>1</v>
      </c>
      <c r="J62" s="279"/>
    </row>
    <row r="63" spans="1:10" s="1" customFormat="1" x14ac:dyDescent="0.2"/>
    <row r="64" spans="1:10" s="1" customFormat="1" x14ac:dyDescent="0.2"/>
    <row r="65" spans="1:2" s="1" customFormat="1" x14ac:dyDescent="0.2"/>
    <row r="66" spans="1:2" s="1" customFormat="1" x14ac:dyDescent="0.2"/>
    <row r="67" spans="1:2" s="1" customFormat="1" x14ac:dyDescent="0.2"/>
    <row r="68" spans="1:2" s="1" customFormat="1" x14ac:dyDescent="0.2"/>
    <row r="69" spans="1:2" s="1" customFormat="1" x14ac:dyDescent="0.2"/>
    <row r="70" spans="1:2" s="1" customFormat="1" x14ac:dyDescent="0.2"/>
    <row r="71" spans="1:2" x14ac:dyDescent="0.2">
      <c r="A71" s="1"/>
      <c r="B71" s="1"/>
    </row>
    <row r="72" spans="1:2" x14ac:dyDescent="0.2">
      <c r="A72" s="1"/>
      <c r="B72" s="1"/>
    </row>
    <row r="73" spans="1:2" x14ac:dyDescent="0.2">
      <c r="A73" s="1"/>
      <c r="B73" s="1"/>
    </row>
    <row r="74" spans="1:2" x14ac:dyDescent="0.2">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6" priority="4" operator="between">
      <formula>0.75</formula>
      <formula>1</formula>
    </cfRule>
    <cfRule type="cellIs" dxfId="15" priority="5" operator="between">
      <formula>0.5</formula>
      <formula>0.74</formula>
    </cfRule>
    <cfRule type="cellIs" dxfId="14" priority="6" operator="between">
      <formula>0</formula>
      <formula>0.49</formula>
    </cfRule>
  </conditionalFormatting>
  <conditionalFormatting sqref="J19:J31 J41 J46 J53">
    <cfRule type="cellIs" priority="1" operator="between">
      <formula>0.75</formula>
      <formula>1</formula>
    </cfRule>
    <cfRule type="cellIs" dxfId="13" priority="2" operator="between">
      <formula>0.5</formula>
      <formula>0.75</formula>
    </cfRule>
    <cfRule type="cellIs" dxfId="12"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topLeftCell="D1" zoomScale="81" zoomScaleNormal="64" workbookViewId="0">
      <selection activeCell="F20" sqref="F20:M20"/>
    </sheetView>
  </sheetViews>
  <sheetFormatPr baseColWidth="10" defaultColWidth="11.5" defaultRowHeight="15" x14ac:dyDescent="0.2"/>
  <cols>
    <col min="1" max="1" width="4.5" customWidth="1"/>
    <col min="3" max="3" width="35.5" customWidth="1"/>
    <col min="4" max="4" width="13" customWidth="1"/>
    <col min="5" max="5" width="43.33203125" customWidth="1"/>
    <col min="7" max="7" width="33.83203125" customWidth="1"/>
    <col min="9" max="9" width="92.33203125" customWidth="1"/>
    <col min="13" max="13" width="29" customWidth="1"/>
  </cols>
  <sheetData>
    <row r="1" spans="1:17" s="1" customFormat="1" x14ac:dyDescent="0.2"/>
    <row r="2" spans="1:17" ht="16" thickBot="1" x14ac:dyDescent="0.25">
      <c r="A2" s="1"/>
      <c r="B2" s="1"/>
      <c r="C2" s="1"/>
      <c r="D2" s="1"/>
      <c r="E2" s="1"/>
      <c r="F2" s="1"/>
      <c r="G2" s="1"/>
      <c r="H2" s="1"/>
      <c r="I2" s="1"/>
      <c r="J2" s="1"/>
      <c r="K2" s="1"/>
      <c r="L2" s="1"/>
      <c r="M2" s="1"/>
      <c r="N2" s="1"/>
      <c r="O2" s="1"/>
      <c r="P2" s="1"/>
      <c r="Q2" s="1"/>
    </row>
    <row r="3" spans="1:17" ht="16" thickTop="1" x14ac:dyDescent="0.2">
      <c r="A3" s="1"/>
      <c r="B3" s="2"/>
      <c r="C3" s="3"/>
      <c r="D3" s="3"/>
      <c r="E3" s="3"/>
      <c r="F3" s="3"/>
      <c r="G3" s="3"/>
      <c r="H3" s="3"/>
      <c r="I3" s="3"/>
      <c r="J3" s="3"/>
      <c r="K3" s="3"/>
      <c r="L3" s="3"/>
      <c r="M3" s="3"/>
      <c r="N3" s="3"/>
      <c r="O3" s="3"/>
      <c r="P3" s="4"/>
      <c r="Q3" s="1"/>
    </row>
    <row r="4" spans="1:17" x14ac:dyDescent="0.2">
      <c r="A4" s="1"/>
      <c r="B4" s="5"/>
      <c r="C4" s="1"/>
      <c r="D4" s="1"/>
      <c r="E4" s="297" t="s">
        <v>142</v>
      </c>
      <c r="F4" s="299" t="s">
        <v>143</v>
      </c>
      <c r="G4" s="299"/>
      <c r="H4" s="299"/>
      <c r="I4" s="299"/>
      <c r="J4" s="299"/>
      <c r="K4" s="299"/>
      <c r="L4" s="299"/>
      <c r="M4" s="299"/>
      <c r="N4" s="6"/>
      <c r="O4" s="6"/>
      <c r="P4" s="7"/>
      <c r="Q4" s="1"/>
    </row>
    <row r="5" spans="1:17" ht="45.75" customHeight="1" x14ac:dyDescent="0.2">
      <c r="A5" s="1"/>
      <c r="B5" s="5"/>
      <c r="C5" s="1"/>
      <c r="D5" s="1"/>
      <c r="E5" s="298"/>
      <c r="F5" s="299"/>
      <c r="G5" s="299"/>
      <c r="H5" s="299"/>
      <c r="I5" s="299"/>
      <c r="J5" s="299"/>
      <c r="K5" s="299"/>
      <c r="L5" s="299"/>
      <c r="M5" s="299"/>
      <c r="N5" s="6"/>
      <c r="O5" s="6"/>
      <c r="P5" s="7"/>
      <c r="Q5" s="1"/>
    </row>
    <row r="6" spans="1:17" ht="66.75" customHeight="1" x14ac:dyDescent="0.2">
      <c r="A6" s="1"/>
      <c r="B6" s="5"/>
      <c r="C6" s="1"/>
      <c r="D6" s="1"/>
      <c r="E6" s="87" t="s">
        <v>144</v>
      </c>
      <c r="F6" s="300" t="s">
        <v>243</v>
      </c>
      <c r="G6" s="301"/>
      <c r="H6" s="301"/>
      <c r="I6" s="301"/>
      <c r="J6" s="301"/>
      <c r="K6" s="301"/>
      <c r="L6" s="301"/>
      <c r="M6" s="302"/>
      <c r="N6" s="8"/>
      <c r="O6" s="8"/>
      <c r="P6" s="7"/>
      <c r="Q6" s="1"/>
    </row>
    <row r="7" spans="1:17" ht="16" thickBot="1" x14ac:dyDescent="0.25">
      <c r="A7" s="1"/>
      <c r="B7" s="5"/>
      <c r="C7" s="1"/>
      <c r="D7" s="1"/>
      <c r="E7" s="9"/>
      <c r="F7" s="8"/>
      <c r="G7" s="8"/>
      <c r="H7" s="8"/>
      <c r="I7" s="8"/>
      <c r="J7" s="8"/>
      <c r="K7" s="8"/>
      <c r="L7" s="8"/>
      <c r="M7" s="1"/>
      <c r="N7" s="1"/>
      <c r="O7" s="1"/>
      <c r="P7" s="7"/>
      <c r="Q7" s="1"/>
    </row>
    <row r="8" spans="1:17" ht="97.5" customHeight="1" thickBot="1" x14ac:dyDescent="0.25">
      <c r="A8" s="1"/>
      <c r="B8" s="5"/>
      <c r="C8" s="1"/>
      <c r="D8" s="1"/>
      <c r="E8" s="1"/>
      <c r="F8" s="1"/>
      <c r="G8" s="1"/>
      <c r="H8" s="1"/>
      <c r="I8" s="303" t="s">
        <v>145</v>
      </c>
      <c r="J8" s="304"/>
      <c r="K8" s="305"/>
      <c r="L8" s="1"/>
      <c r="M8" s="132">
        <f>+AVERAGE(G26,G28,G30,G32,G34)</f>
        <v>0.84785714285714298</v>
      </c>
      <c r="N8" s="10"/>
      <c r="O8" s="10"/>
      <c r="P8" s="7"/>
      <c r="Q8" s="1"/>
    </row>
    <row r="9" spans="1:17" ht="16" x14ac:dyDescent="0.2">
      <c r="A9" s="1"/>
      <c r="B9" s="5"/>
      <c r="C9" s="1"/>
      <c r="D9" s="1"/>
      <c r="E9" s="1"/>
      <c r="F9" s="1"/>
      <c r="G9" s="1"/>
      <c r="H9" s="1"/>
      <c r="I9" s="1"/>
      <c r="J9" s="1"/>
      <c r="K9" s="1"/>
      <c r="L9" s="1"/>
      <c r="M9" s="11"/>
      <c r="N9" s="11"/>
      <c r="O9" s="11"/>
      <c r="P9" s="7"/>
      <c r="Q9" s="1"/>
    </row>
    <row r="10" spans="1:17" x14ac:dyDescent="0.2">
      <c r="A10" s="1"/>
      <c r="B10" s="5"/>
      <c r="C10" s="1"/>
      <c r="D10" s="1"/>
      <c r="E10" s="1"/>
      <c r="F10" s="1"/>
      <c r="G10" s="1"/>
      <c r="H10" s="1"/>
      <c r="I10" s="1"/>
      <c r="J10" s="1"/>
      <c r="K10" s="1"/>
      <c r="L10" s="1"/>
      <c r="M10" s="1"/>
      <c r="N10" s="1"/>
      <c r="O10" s="1"/>
      <c r="P10" s="7"/>
      <c r="Q10" s="1"/>
    </row>
    <row r="11" spans="1:17" x14ac:dyDescent="0.2">
      <c r="A11" s="1"/>
      <c r="B11" s="5"/>
      <c r="C11" s="1"/>
      <c r="D11" s="1"/>
      <c r="E11" s="1"/>
      <c r="F11" s="1"/>
      <c r="G11" s="1"/>
      <c r="H11" s="1"/>
      <c r="I11" s="1"/>
      <c r="J11" s="1"/>
      <c r="K11" s="1"/>
      <c r="L11" s="1"/>
      <c r="M11" s="1"/>
      <c r="N11" s="1"/>
      <c r="O11" s="1"/>
      <c r="P11" s="7"/>
      <c r="Q11" s="1"/>
    </row>
    <row r="12" spans="1:17" x14ac:dyDescent="0.2">
      <c r="A12" s="1"/>
      <c r="B12" s="5"/>
      <c r="C12" s="1"/>
      <c r="D12" s="1"/>
      <c r="E12" s="1"/>
      <c r="F12" s="1"/>
      <c r="G12" s="1"/>
      <c r="H12" s="1"/>
      <c r="I12" s="1"/>
      <c r="J12" s="1"/>
      <c r="K12" s="1"/>
      <c r="L12" s="1"/>
      <c r="M12" s="1"/>
      <c r="N12" s="1"/>
      <c r="O12" s="1"/>
      <c r="P12" s="7"/>
      <c r="Q12" s="1"/>
    </row>
    <row r="13" spans="1:17" x14ac:dyDescent="0.2">
      <c r="A13" s="1"/>
      <c r="B13" s="5"/>
      <c r="C13" s="1"/>
      <c r="D13" s="1"/>
      <c r="E13" s="1"/>
      <c r="F13" s="1"/>
      <c r="G13" s="1"/>
      <c r="H13" s="1"/>
      <c r="I13" s="1"/>
      <c r="J13" s="1"/>
      <c r="K13" s="1"/>
      <c r="L13" s="1"/>
      <c r="M13" s="1"/>
      <c r="N13" s="1"/>
      <c r="O13" s="1"/>
      <c r="P13" s="7"/>
      <c r="Q13" s="1"/>
    </row>
    <row r="14" spans="1:17" x14ac:dyDescent="0.2">
      <c r="A14" s="1"/>
      <c r="B14" s="5"/>
      <c r="C14" s="1"/>
      <c r="D14" s="1"/>
      <c r="E14" s="1"/>
      <c r="F14" s="1"/>
      <c r="G14" s="1"/>
      <c r="H14" s="1"/>
      <c r="I14" s="1"/>
      <c r="J14" s="1"/>
      <c r="K14" s="1"/>
      <c r="L14" s="1"/>
      <c r="M14" s="1"/>
      <c r="N14" s="1"/>
      <c r="O14" s="1"/>
      <c r="P14" s="7"/>
      <c r="Q14" s="1"/>
    </row>
    <row r="15" spans="1:17" x14ac:dyDescent="0.2">
      <c r="A15" s="1"/>
      <c r="B15" s="5"/>
      <c r="C15" s="1"/>
      <c r="D15" s="1"/>
      <c r="E15" s="1"/>
      <c r="F15" s="1"/>
      <c r="G15" s="1"/>
      <c r="H15" s="1"/>
      <c r="I15" s="1"/>
      <c r="J15" s="1"/>
      <c r="K15" s="1"/>
      <c r="L15" s="1"/>
      <c r="M15" s="1"/>
      <c r="N15" s="1"/>
      <c r="O15" s="1"/>
      <c r="P15" s="7"/>
      <c r="Q15" s="1"/>
    </row>
    <row r="16" spans="1:17" x14ac:dyDescent="0.2">
      <c r="A16" s="1"/>
      <c r="B16" s="5"/>
      <c r="C16" s="1"/>
      <c r="D16" s="1"/>
      <c r="E16" s="1"/>
      <c r="F16" s="1"/>
      <c r="G16" s="1"/>
      <c r="H16" s="1"/>
      <c r="I16" s="1"/>
      <c r="J16" s="1"/>
      <c r="K16" s="1"/>
      <c r="L16" s="1"/>
      <c r="M16" s="1"/>
      <c r="N16" s="1"/>
      <c r="O16" s="1"/>
      <c r="P16" s="7"/>
      <c r="Q16" s="1"/>
    </row>
    <row r="17" spans="1:17" x14ac:dyDescent="0.2">
      <c r="A17" s="1"/>
      <c r="B17" s="5"/>
      <c r="C17" s="1"/>
      <c r="D17" s="1"/>
      <c r="E17" s="1"/>
      <c r="F17" s="1"/>
      <c r="G17" s="1"/>
      <c r="H17" s="1"/>
      <c r="I17" s="1"/>
      <c r="J17" s="1"/>
      <c r="K17" s="1"/>
      <c r="L17" s="1"/>
      <c r="M17" s="1"/>
      <c r="N17" s="1"/>
      <c r="O17" s="1"/>
      <c r="P17" s="7"/>
      <c r="Q17" s="1"/>
    </row>
    <row r="18" spans="1:17" ht="23" x14ac:dyDescent="0.2">
      <c r="A18" s="1"/>
      <c r="B18" s="5"/>
      <c r="C18" s="306" t="s">
        <v>146</v>
      </c>
      <c r="D18" s="307"/>
      <c r="E18" s="307"/>
      <c r="F18" s="307"/>
      <c r="G18" s="307"/>
      <c r="H18" s="307"/>
      <c r="I18" s="307"/>
      <c r="J18" s="307"/>
      <c r="K18" s="307"/>
      <c r="L18" s="307"/>
      <c r="M18" s="308"/>
      <c r="N18" s="12"/>
      <c r="O18" s="12"/>
      <c r="P18" s="7"/>
      <c r="Q18" s="1"/>
    </row>
    <row r="19" spans="1:17" ht="17" thickBot="1" x14ac:dyDescent="0.25">
      <c r="A19" s="1"/>
      <c r="B19" s="5"/>
      <c r="C19" s="13"/>
      <c r="D19" s="13"/>
      <c r="E19" s="13"/>
      <c r="F19" s="13"/>
      <c r="G19" s="13"/>
      <c r="H19" s="13"/>
      <c r="I19" s="13"/>
      <c r="J19" s="13"/>
      <c r="K19" s="13"/>
      <c r="L19" s="13"/>
      <c r="M19" s="13"/>
      <c r="N19" s="14"/>
      <c r="O19" s="14"/>
      <c r="P19" s="7"/>
      <c r="Q19" s="1"/>
    </row>
    <row r="20" spans="1:17" ht="150" customHeight="1" x14ac:dyDescent="0.2">
      <c r="A20" s="1"/>
      <c r="B20" s="5"/>
      <c r="C20" s="309" t="s">
        <v>147</v>
      </c>
      <c r="D20" s="310"/>
      <c r="E20" s="135" t="s">
        <v>51</v>
      </c>
      <c r="F20" s="317" t="s">
        <v>237</v>
      </c>
      <c r="G20" s="311"/>
      <c r="H20" s="311"/>
      <c r="I20" s="311"/>
      <c r="J20" s="311"/>
      <c r="K20" s="311"/>
      <c r="L20" s="311"/>
      <c r="M20" s="312"/>
      <c r="N20" s="14"/>
      <c r="O20" s="14"/>
      <c r="P20" s="7"/>
      <c r="Q20" s="1"/>
    </row>
    <row r="21" spans="1:17" ht="126.75" customHeight="1" x14ac:dyDescent="0.2">
      <c r="A21" s="1"/>
      <c r="B21" s="5"/>
      <c r="C21" s="293" t="s">
        <v>148</v>
      </c>
      <c r="D21" s="294"/>
      <c r="E21" s="136" t="s">
        <v>39</v>
      </c>
      <c r="F21" s="318" t="s">
        <v>238</v>
      </c>
      <c r="G21" s="313"/>
      <c r="H21" s="313"/>
      <c r="I21" s="313"/>
      <c r="J21" s="313"/>
      <c r="K21" s="313"/>
      <c r="L21" s="313"/>
      <c r="M21" s="314"/>
      <c r="N21" s="14"/>
      <c r="O21" s="14"/>
      <c r="P21" s="7"/>
      <c r="Q21" s="1"/>
    </row>
    <row r="22" spans="1:17" ht="151.5" customHeight="1" thickBot="1" x14ac:dyDescent="0.25">
      <c r="A22" s="1"/>
      <c r="B22" s="5"/>
      <c r="C22" s="295" t="s">
        <v>149</v>
      </c>
      <c r="D22" s="296"/>
      <c r="E22" s="137" t="s">
        <v>36</v>
      </c>
      <c r="F22" s="319" t="s">
        <v>239</v>
      </c>
      <c r="G22" s="315"/>
      <c r="H22" s="315"/>
      <c r="I22" s="315"/>
      <c r="J22" s="315"/>
      <c r="K22" s="315"/>
      <c r="L22" s="315"/>
      <c r="M22" s="316"/>
      <c r="N22" s="14"/>
      <c r="O22" s="14"/>
      <c r="P22" s="7"/>
      <c r="Q22" s="1"/>
    </row>
    <row r="23" spans="1:17" x14ac:dyDescent="0.2">
      <c r="A23" s="1"/>
      <c r="B23" s="5"/>
      <c r="C23" s="1"/>
      <c r="D23" s="1"/>
      <c r="E23" s="1"/>
      <c r="F23" s="1"/>
      <c r="G23" s="15"/>
      <c r="H23" s="1"/>
      <c r="I23" s="1"/>
      <c r="J23" s="1"/>
      <c r="K23" s="1"/>
      <c r="L23" s="1"/>
      <c r="M23" s="1"/>
      <c r="N23" s="1"/>
      <c r="O23" s="1"/>
      <c r="P23" s="7"/>
      <c r="Q23" s="1"/>
    </row>
    <row r="24" spans="1:17" ht="78" x14ac:dyDescent="0.2">
      <c r="A24" s="1"/>
      <c r="B24" s="5"/>
      <c r="C24" s="90" t="s">
        <v>150</v>
      </c>
      <c r="D24" s="91"/>
      <c r="E24" s="90" t="s">
        <v>151</v>
      </c>
      <c r="F24" s="91"/>
      <c r="G24" s="90" t="s">
        <v>152</v>
      </c>
      <c r="H24" s="91"/>
      <c r="I24" s="290" t="s">
        <v>153</v>
      </c>
      <c r="J24" s="290"/>
      <c r="K24" s="290"/>
      <c r="L24" s="290"/>
      <c r="M24" s="290"/>
      <c r="N24" s="30"/>
      <c r="O24" s="30"/>
      <c r="P24" s="7"/>
      <c r="Q24" s="16"/>
    </row>
    <row r="25" spans="1:17" ht="13.5" customHeight="1" thickBot="1" x14ac:dyDescent="0.25">
      <c r="A25" s="1"/>
      <c r="B25" s="5"/>
      <c r="C25" s="29"/>
      <c r="I25" s="291"/>
      <c r="J25" s="291"/>
      <c r="K25" s="291"/>
      <c r="L25" s="291"/>
      <c r="M25" s="291"/>
      <c r="N25" s="31"/>
      <c r="O25" s="31"/>
      <c r="P25" s="7"/>
      <c r="Q25" s="1"/>
    </row>
    <row r="26" spans="1:17" ht="155.25" customHeight="1" x14ac:dyDescent="0.2">
      <c r="A26" s="1"/>
      <c r="B26" s="5"/>
      <c r="C26" s="81" t="s">
        <v>32</v>
      </c>
      <c r="D26" s="17"/>
      <c r="E26" s="133" t="str">
        <f>+IF(Hoja1!K2&gt;=0.5,"Si","No")</f>
        <v>Si</v>
      </c>
      <c r="F26" s="18"/>
      <c r="G26" s="134">
        <f>+Hoja1!K2</f>
        <v>0.875</v>
      </c>
      <c r="H26" s="18"/>
      <c r="I26" s="287" t="s">
        <v>233</v>
      </c>
      <c r="J26" s="288"/>
      <c r="K26" s="288"/>
      <c r="L26" s="288"/>
      <c r="M26" s="289"/>
      <c r="N26" s="32"/>
      <c r="O26" s="33"/>
      <c r="P26" s="19"/>
      <c r="Q26" s="20"/>
    </row>
    <row r="27" spans="1:17" ht="27" thickBot="1" x14ac:dyDescent="0.35">
      <c r="A27" s="1"/>
      <c r="B27" s="5"/>
      <c r="C27" s="82"/>
      <c r="E27" s="89"/>
      <c r="G27" s="21"/>
      <c r="I27" s="292"/>
      <c r="J27" s="292"/>
      <c r="K27" s="292"/>
      <c r="L27" s="292"/>
      <c r="M27" s="292"/>
      <c r="N27" s="34"/>
      <c r="O27" s="34"/>
      <c r="P27" s="7"/>
      <c r="Q27" s="1"/>
    </row>
    <row r="28" spans="1:17" ht="111.75" customHeight="1" x14ac:dyDescent="0.2">
      <c r="A28" s="1"/>
      <c r="B28" s="5"/>
      <c r="C28" s="83" t="s">
        <v>154</v>
      </c>
      <c r="D28" s="17"/>
      <c r="E28" s="133" t="str">
        <f>+IF(Hoja1!K14&gt;=0.5,"Si","No")</f>
        <v>Si</v>
      </c>
      <c r="G28" s="134">
        <f>+Hoja1!K14</f>
        <v>0.95</v>
      </c>
      <c r="I28" s="287" t="s">
        <v>240</v>
      </c>
      <c r="J28" s="288"/>
      <c r="K28" s="288"/>
      <c r="L28" s="288"/>
      <c r="M28" s="289"/>
      <c r="N28" s="32"/>
      <c r="O28" s="32"/>
      <c r="P28" s="7"/>
      <c r="Q28" s="1"/>
    </row>
    <row r="29" spans="1:17" ht="27" thickBot="1" x14ac:dyDescent="0.35">
      <c r="A29" s="1"/>
      <c r="B29" s="5"/>
      <c r="C29" s="82"/>
      <c r="E29" s="89"/>
      <c r="G29" s="21"/>
      <c r="I29" s="292"/>
      <c r="J29" s="292"/>
      <c r="K29" s="292"/>
      <c r="L29" s="292"/>
      <c r="M29" s="292"/>
      <c r="N29" s="34"/>
      <c r="O29" s="34"/>
      <c r="P29" s="7"/>
      <c r="Q29" s="1"/>
    </row>
    <row r="30" spans="1:17" ht="123" customHeight="1" thickBot="1" x14ac:dyDescent="0.25">
      <c r="A30" s="1"/>
      <c r="B30" s="5"/>
      <c r="C30" s="84" t="s">
        <v>155</v>
      </c>
      <c r="D30" s="17"/>
      <c r="E30" s="133" t="str">
        <f>+IF(Hoja1!K24&gt;=0.5,"Si","No")</f>
        <v>Si</v>
      </c>
      <c r="G30" s="134">
        <f>+Hoja1!K24</f>
        <v>0.8</v>
      </c>
      <c r="I30" s="287" t="s">
        <v>156</v>
      </c>
      <c r="J30" s="288"/>
      <c r="K30" s="288"/>
      <c r="L30" s="288"/>
      <c r="M30" s="289"/>
      <c r="N30" s="32"/>
      <c r="O30" s="32"/>
      <c r="P30" s="7"/>
      <c r="Q30" s="1"/>
    </row>
    <row r="31" spans="1:17" ht="27" thickBot="1" x14ac:dyDescent="0.35">
      <c r="A31" s="1"/>
      <c r="B31" s="5"/>
      <c r="C31" s="82"/>
      <c r="E31" s="89"/>
      <c r="G31" s="21"/>
      <c r="I31" s="292"/>
      <c r="J31" s="292"/>
      <c r="K31" s="292"/>
      <c r="L31" s="292"/>
      <c r="M31" s="292"/>
      <c r="N31" s="34"/>
      <c r="O31" s="34"/>
      <c r="P31" s="7"/>
      <c r="Q31" s="1"/>
    </row>
    <row r="32" spans="1:17" ht="171" customHeight="1" thickBot="1" x14ac:dyDescent="0.25">
      <c r="A32" s="1"/>
      <c r="B32" s="5"/>
      <c r="C32" s="85" t="s">
        <v>94</v>
      </c>
      <c r="D32" s="17"/>
      <c r="E32" s="133" t="str">
        <f>+IF(Hoja1!K29&gt;=0.5,"Si","No")</f>
        <v>Si</v>
      </c>
      <c r="G32" s="134">
        <f>+Hoja1!K29</f>
        <v>0.7142857142857143</v>
      </c>
      <c r="I32" s="287" t="s">
        <v>241</v>
      </c>
      <c r="J32" s="288"/>
      <c r="K32" s="288"/>
      <c r="L32" s="288"/>
      <c r="M32" s="289"/>
      <c r="N32" s="32"/>
      <c r="O32" s="32"/>
      <c r="P32" s="7"/>
      <c r="Q32" s="1"/>
    </row>
    <row r="33" spans="1:17" ht="27" thickBot="1" x14ac:dyDescent="0.35">
      <c r="A33" s="1"/>
      <c r="B33" s="5"/>
      <c r="C33" s="82"/>
      <c r="E33" s="89"/>
      <c r="G33" s="21"/>
      <c r="I33" s="292"/>
      <c r="J33" s="292"/>
      <c r="K33" s="292"/>
      <c r="L33" s="292"/>
      <c r="M33" s="292"/>
      <c r="N33" s="34"/>
      <c r="O33" s="34"/>
      <c r="P33" s="7"/>
      <c r="Q33" s="1"/>
    </row>
    <row r="34" spans="1:17" ht="164.25" customHeight="1" thickBot="1" x14ac:dyDescent="0.25">
      <c r="A34" s="1"/>
      <c r="B34" s="5"/>
      <c r="C34" s="86" t="s">
        <v>157</v>
      </c>
      <c r="D34" s="17"/>
      <c r="E34" s="88" t="str">
        <f>+IF(Hoja1!K36&gt;=0.5,"Si","No")</f>
        <v>Si</v>
      </c>
      <c r="G34" s="134">
        <f>+Hoja1!K36</f>
        <v>0.9</v>
      </c>
      <c r="I34" s="287" t="s">
        <v>242</v>
      </c>
      <c r="J34" s="288"/>
      <c r="K34" s="288"/>
      <c r="L34" s="288"/>
      <c r="M34" s="289"/>
      <c r="N34" s="32"/>
      <c r="O34" s="32"/>
      <c r="P34" s="7"/>
      <c r="Q34" s="1"/>
    </row>
    <row r="35" spans="1:17" ht="16" x14ac:dyDescent="0.2">
      <c r="A35" s="1"/>
      <c r="B35" s="5"/>
      <c r="C35" s="22"/>
      <c r="D35" s="22"/>
      <c r="E35" s="14"/>
      <c r="F35" s="1"/>
      <c r="G35" s="1"/>
      <c r="H35" s="1"/>
      <c r="I35" s="1"/>
      <c r="J35" s="1"/>
      <c r="K35" s="1"/>
      <c r="L35" s="1"/>
      <c r="M35" s="23"/>
      <c r="N35" s="23"/>
      <c r="O35" s="23"/>
      <c r="P35" s="7"/>
      <c r="Q35" s="1"/>
    </row>
    <row r="36" spans="1:17" ht="16" x14ac:dyDescent="0.2">
      <c r="A36" s="1"/>
      <c r="B36" s="5"/>
      <c r="C36" s="24"/>
      <c r="D36" s="22"/>
      <c r="E36" s="14"/>
      <c r="F36" s="1"/>
      <c r="G36" s="1"/>
      <c r="H36" s="1"/>
      <c r="I36" s="1"/>
      <c r="J36" s="1"/>
      <c r="K36" s="1"/>
      <c r="L36" s="1"/>
      <c r="M36" s="23"/>
      <c r="N36" s="23"/>
      <c r="O36" s="23"/>
      <c r="P36" s="7"/>
      <c r="Q36" s="1"/>
    </row>
    <row r="37" spans="1:17" x14ac:dyDescent="0.2">
      <c r="A37" s="1"/>
      <c r="B37" s="5"/>
      <c r="C37" s="25"/>
      <c r="D37" s="1"/>
      <c r="E37" s="1"/>
      <c r="F37" s="1"/>
      <c r="G37" s="1"/>
      <c r="H37" s="1"/>
      <c r="I37" s="1"/>
      <c r="J37" s="1"/>
      <c r="K37" s="1"/>
      <c r="L37" s="1"/>
      <c r="M37" s="1"/>
      <c r="N37" s="1"/>
      <c r="O37" s="1"/>
      <c r="P37" s="7"/>
      <c r="Q37" s="1"/>
    </row>
    <row r="38" spans="1:17" ht="16" thickBot="1" x14ac:dyDescent="0.25">
      <c r="A38" s="1"/>
      <c r="B38" s="26"/>
      <c r="C38" s="27"/>
      <c r="D38" s="27"/>
      <c r="E38" s="27"/>
      <c r="F38" s="27"/>
      <c r="G38" s="27"/>
      <c r="H38" s="27"/>
      <c r="I38" s="27"/>
      <c r="J38" s="27"/>
      <c r="K38" s="27"/>
      <c r="L38" s="27"/>
      <c r="M38" s="27"/>
      <c r="N38" s="27"/>
      <c r="O38" s="27"/>
      <c r="P38" s="28"/>
      <c r="Q38" s="1"/>
    </row>
    <row r="39" spans="1:17" ht="16" thickTop="1" x14ac:dyDescent="0.2">
      <c r="A39" s="1"/>
      <c r="B39" s="1"/>
      <c r="C39" s="1"/>
      <c r="D39" s="1"/>
      <c r="E39" s="1"/>
      <c r="F39" s="1"/>
      <c r="G39" s="1"/>
      <c r="H39" s="1"/>
      <c r="I39" s="1"/>
      <c r="J39" s="1"/>
      <c r="K39" s="1"/>
      <c r="L39" s="1"/>
      <c r="M39" s="1"/>
      <c r="N39" s="1"/>
      <c r="O39" s="1"/>
      <c r="P39" s="1"/>
      <c r="Q39" s="1"/>
    </row>
    <row r="40" spans="1:17" x14ac:dyDescent="0.2">
      <c r="A40" s="1"/>
      <c r="B40" s="1"/>
      <c r="C40" s="1"/>
      <c r="D40" s="1"/>
      <c r="E40" s="1"/>
      <c r="F40" s="1"/>
      <c r="G40" s="1"/>
      <c r="H40" s="1"/>
      <c r="I40" s="1"/>
      <c r="J40" s="1"/>
      <c r="K40" s="1"/>
      <c r="L40" s="1"/>
      <c r="M40" s="1"/>
      <c r="N40" s="1"/>
      <c r="O40" s="1"/>
      <c r="P40" s="1"/>
      <c r="Q40" s="1"/>
    </row>
    <row r="41" spans="1:17" x14ac:dyDescent="0.2">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27" operator="between">
      <formula>0.76</formula>
      <formula>1</formula>
    </cfRule>
    <cfRule type="cellIs" dxfId="2" priority="28" operator="between">
      <formula>0.51</formula>
      <formula>0.75</formula>
    </cfRule>
    <cfRule type="cellIs" dxfId="1" priority="29" operator="between">
      <formula>0.26</formula>
      <formula>0.5</formula>
    </cfRule>
    <cfRule type="cellIs" dxfId="0" priority="30" operator="between">
      <formula>0</formula>
      <formula>0.25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'/Users/cmejia/Library/Containers/com.microsoft.Excel/Data/Documents/C:\Users\dell\Desktop\cesar\HISTORICOS\[2020-04-22_Formato_informe_sci_parametrizado_final.xlsx]Analisis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5" defaultRowHeight="15" x14ac:dyDescent="0.2"/>
  <cols>
    <col min="2" max="2" width="31" bestFit="1" customWidth="1"/>
    <col min="3" max="3" width="17.1640625" customWidth="1"/>
    <col min="5" max="5" width="15.1640625" customWidth="1"/>
    <col min="10" max="10" width="15.6640625" customWidth="1"/>
    <col min="11" max="11" width="12" bestFit="1" customWidth="1"/>
  </cols>
  <sheetData>
    <row r="1" spans="1:11" ht="84.75" customHeight="1" x14ac:dyDescent="0.2">
      <c r="A1" s="138" t="s">
        <v>25</v>
      </c>
      <c r="B1" s="138" t="s">
        <v>6</v>
      </c>
      <c r="C1" s="139" t="s">
        <v>8</v>
      </c>
      <c r="D1" s="140" t="s">
        <v>26</v>
      </c>
      <c r="E1" s="140" t="s">
        <v>27</v>
      </c>
      <c r="F1" s="140" t="s">
        <v>158</v>
      </c>
      <c r="G1" s="141" t="s">
        <v>159</v>
      </c>
      <c r="H1" s="141" t="s">
        <v>160</v>
      </c>
      <c r="I1" s="141" t="s">
        <v>137</v>
      </c>
      <c r="J1" s="141" t="s">
        <v>161</v>
      </c>
      <c r="K1" s="141" t="s">
        <v>162</v>
      </c>
    </row>
    <row r="2" spans="1:11" x14ac:dyDescent="0.2">
      <c r="A2" s="142" t="s">
        <v>163</v>
      </c>
      <c r="B2" s="142" t="str">
        <f>+VLOOKUP(A2,'Estado SCI'!$A$16:$C$59,3,0)</f>
        <v>AMBIENTE DE CONTROL</v>
      </c>
      <c r="C2" s="142" t="s">
        <v>33</v>
      </c>
      <c r="D2" s="142" t="s">
        <v>34</v>
      </c>
      <c r="E2" s="142" t="s">
        <v>35</v>
      </c>
      <c r="F2" s="142" t="str">
        <f>+VLOOKUP(A2,'Estado SCI'!$A$16:$I$59,9,0)</f>
        <v>Deficiencia de control</v>
      </c>
      <c r="G2" s="142">
        <f>+VLOOKUP(A2,'Estado SCI'!$A$16:$L$59,12,0)</f>
        <v>0.123</v>
      </c>
      <c r="H2" s="142">
        <f t="shared" ref="H2:H45" si="0">+_xlfn.RANK.EQ(G2,$G$2:$G$45,1)</f>
        <v>1</v>
      </c>
      <c r="I2" s="142" t="str">
        <f>+IF(VLOOKUP(A2,'Estado SCI'!$A$16:$G$59,7,0)="","",VLOOKUP(A2,'Estado SCI'!$A$16:$G$59,7,0))</f>
        <v>No</v>
      </c>
      <c r="J2" s="143">
        <f>+IF(I2="Si",1,IF(I2="En proceso",0.5,0))</f>
        <v>0</v>
      </c>
      <c r="K2" s="144">
        <f t="shared" ref="K2:K45" si="1">+AVERAGEIF($B$2:$B$45,B2,$J$2:$J$45)</f>
        <v>0.875</v>
      </c>
    </row>
    <row r="3" spans="1:11" x14ac:dyDescent="0.2">
      <c r="A3" s="142" t="s">
        <v>164</v>
      </c>
      <c r="B3" s="142" t="s">
        <v>32</v>
      </c>
      <c r="C3" s="142" t="s">
        <v>33</v>
      </c>
      <c r="D3" s="142" t="s">
        <v>37</v>
      </c>
      <c r="E3" s="142" t="s">
        <v>38</v>
      </c>
      <c r="F3" s="142" t="str">
        <f>+VLOOKUP(A3,'Estado SCI'!$A$16:$I$59,9,0)</f>
        <v>Mantenimiento del control</v>
      </c>
      <c r="G3" s="142">
        <f>+VLOOKUP(A3,'Estado SCI'!$A$16:$L$59,12,0)</f>
        <v>20.1234</v>
      </c>
      <c r="H3" s="142">
        <f t="shared" si="0"/>
        <v>3</v>
      </c>
      <c r="I3" s="142" t="str">
        <f>+IF(VLOOKUP(A3,'Estado SCI'!$A$16:$G$59,7,0)="","",VLOOKUP(A3,'Estado SCI'!$A$16:$G$59,7,0))</f>
        <v>Si</v>
      </c>
      <c r="J3" s="143">
        <f t="shared" ref="J3:J45" si="2">+IF(I3="Si",1,IF(I3="En proceso",0.5,0))</f>
        <v>1</v>
      </c>
      <c r="K3" s="144">
        <f t="shared" si="1"/>
        <v>0.875</v>
      </c>
    </row>
    <row r="4" spans="1:11" x14ac:dyDescent="0.2">
      <c r="A4" s="142" t="s">
        <v>165</v>
      </c>
      <c r="B4" s="142" t="s">
        <v>32</v>
      </c>
      <c r="C4" s="142" t="s">
        <v>33</v>
      </c>
      <c r="D4" s="142" t="s">
        <v>41</v>
      </c>
      <c r="E4" s="142" t="s">
        <v>42</v>
      </c>
      <c r="F4" s="142" t="str">
        <f>+VLOOKUP(A4,'Estado SCI'!$A$16:$I$59,9,0)</f>
        <v>Mantenimiento del control</v>
      </c>
      <c r="G4" s="142">
        <f>+VLOOKUP(A4,'Estado SCI'!$A$16:$L$59,12,0)</f>
        <v>20.123449999999998</v>
      </c>
      <c r="H4" s="142">
        <f t="shared" si="0"/>
        <v>4</v>
      </c>
      <c r="I4" s="142" t="str">
        <f>+IF(VLOOKUP(A4,'Estado SCI'!$A$16:$G$59,7,0)="","",VLOOKUP(A4,'Estado SCI'!$A$16:$G$59,7,0))</f>
        <v>Si</v>
      </c>
      <c r="J4" s="143">
        <f t="shared" si="2"/>
        <v>1</v>
      </c>
      <c r="K4" s="144">
        <f t="shared" si="1"/>
        <v>0.875</v>
      </c>
    </row>
    <row r="5" spans="1:11" x14ac:dyDescent="0.2">
      <c r="A5" s="142" t="s">
        <v>166</v>
      </c>
      <c r="B5" s="142" t="s">
        <v>32</v>
      </c>
      <c r="C5" s="142" t="s">
        <v>33</v>
      </c>
      <c r="D5" s="142" t="s">
        <v>43</v>
      </c>
      <c r="E5" s="142" t="s">
        <v>44</v>
      </c>
      <c r="F5" s="142" t="str">
        <f>+VLOOKUP(A5,'Estado SCI'!$A$16:$I$59,9,0)</f>
        <v>Mantenimiento del control</v>
      </c>
      <c r="G5" s="142">
        <f>+VLOOKUP(A5,'Estado SCI'!$A$16:$L$59,12,0)</f>
        <v>20.123456000000001</v>
      </c>
      <c r="H5" s="142">
        <f t="shared" si="0"/>
        <v>5</v>
      </c>
      <c r="I5" s="142" t="str">
        <f>+IF(VLOOKUP(A5,'Estado SCI'!$A$16:$G$59,7,0)="","",VLOOKUP(A5,'Estado SCI'!$A$16:$G$59,7,0))</f>
        <v>Si</v>
      </c>
      <c r="J5" s="143">
        <f t="shared" si="2"/>
        <v>1</v>
      </c>
      <c r="K5" s="144">
        <f t="shared" si="1"/>
        <v>0.875</v>
      </c>
    </row>
    <row r="6" spans="1:11" x14ac:dyDescent="0.2">
      <c r="A6" s="142" t="s">
        <v>167</v>
      </c>
      <c r="B6" s="142" t="s">
        <v>32</v>
      </c>
      <c r="C6" s="142" t="s">
        <v>33</v>
      </c>
      <c r="D6" s="142" t="s">
        <v>46</v>
      </c>
      <c r="E6" s="142" t="s">
        <v>47</v>
      </c>
      <c r="F6" s="142" t="str">
        <f>+VLOOKUP(A6,'Estado SCI'!$A$16:$I$59,9,0)</f>
        <v>Mantenimiento del control</v>
      </c>
      <c r="G6" s="142">
        <f>+VLOOKUP(A6,'Estado SCI'!$A$16:$L$59,12,0)</f>
        <v>20.123456780000001</v>
      </c>
      <c r="H6" s="142">
        <f t="shared" si="0"/>
        <v>6</v>
      </c>
      <c r="I6" s="142" t="str">
        <f>+IF(VLOOKUP(A6,'Estado SCI'!$A$16:$G$59,7,0)="","",VLOOKUP(A6,'Estado SCI'!$A$16:$G$59,7,0))</f>
        <v>Si</v>
      </c>
      <c r="J6" s="143">
        <f t="shared" si="2"/>
        <v>1</v>
      </c>
      <c r="K6" s="144">
        <f t="shared" si="1"/>
        <v>0.875</v>
      </c>
    </row>
    <row r="7" spans="1:11" x14ac:dyDescent="0.2">
      <c r="A7" s="142" t="s">
        <v>168</v>
      </c>
      <c r="B7" s="142" t="s">
        <v>32</v>
      </c>
      <c r="C7" s="142" t="s">
        <v>33</v>
      </c>
      <c r="D7" s="142" t="s">
        <v>49</v>
      </c>
      <c r="E7" s="142" t="s">
        <v>50</v>
      </c>
      <c r="F7" s="142" t="str">
        <f>+VLOOKUP(A7,'Estado SCI'!$A$16:$I$59,9,0)</f>
        <v>Mantenimiento del control</v>
      </c>
      <c r="G7" s="142">
        <f>+VLOOKUP(A7,'Estado SCI'!$A$16:$L$59,12,0)</f>
        <v>20.123456788999999</v>
      </c>
      <c r="H7" s="142">
        <f t="shared" si="0"/>
        <v>7</v>
      </c>
      <c r="I7" s="142" t="str">
        <f>+IF(VLOOKUP(A7,'Estado SCI'!$A$16:$G$59,7,0)="","",VLOOKUP(A7,'Estado SCI'!$A$16:$G$59,7,0))</f>
        <v>Si</v>
      </c>
      <c r="J7" s="143">
        <f t="shared" si="2"/>
        <v>1</v>
      </c>
      <c r="K7" s="144">
        <f t="shared" si="1"/>
        <v>0.875</v>
      </c>
    </row>
    <row r="8" spans="1:11" x14ac:dyDescent="0.2">
      <c r="A8" s="142" t="s">
        <v>169</v>
      </c>
      <c r="B8" s="142" t="s">
        <v>32</v>
      </c>
      <c r="C8" s="142" t="s">
        <v>33</v>
      </c>
      <c r="D8" s="142" t="s">
        <v>52</v>
      </c>
      <c r="E8" s="142" t="s">
        <v>53</v>
      </c>
      <c r="F8" s="142" t="str">
        <f>+VLOOKUP(A8,'Estado SCI'!$A$16:$I$59,9,0)</f>
        <v>Mantenimiento del control</v>
      </c>
      <c r="G8" s="142">
        <f>+VLOOKUP(A8,'Estado SCI'!$A$16:$L$59,12,0)</f>
        <v>20.1234567891</v>
      </c>
      <c r="H8" s="142">
        <f t="shared" si="0"/>
        <v>8</v>
      </c>
      <c r="I8" s="142" t="str">
        <f>+IF(VLOOKUP(A8,'Estado SCI'!$A$16:$G$59,7,0)="","",VLOOKUP(A8,'Estado SCI'!$A$16:$G$59,7,0))</f>
        <v>Si</v>
      </c>
      <c r="J8" s="143">
        <f t="shared" si="2"/>
        <v>1</v>
      </c>
      <c r="K8" s="144">
        <f t="shared" si="1"/>
        <v>0.875</v>
      </c>
    </row>
    <row r="9" spans="1:11" x14ac:dyDescent="0.2">
      <c r="A9" s="142" t="s">
        <v>170</v>
      </c>
      <c r="B9" s="142" t="s">
        <v>32</v>
      </c>
      <c r="C9" s="142" t="s">
        <v>33</v>
      </c>
      <c r="D9" s="142" t="s">
        <v>54</v>
      </c>
      <c r="E9" s="142" t="s">
        <v>55</v>
      </c>
      <c r="F9" s="142" t="str">
        <f>+VLOOKUP(A9,'Estado SCI'!$A$16:$I$59,9,0)</f>
        <v>Oportunidad de mejora</v>
      </c>
      <c r="G9" s="142">
        <f>+VLOOKUP(A9,'Estado SCI'!$A$16:$L$59,12,0)</f>
        <v>10.12345678912</v>
      </c>
      <c r="H9" s="142">
        <f t="shared" si="0"/>
        <v>2</v>
      </c>
      <c r="I9" s="142" t="str">
        <f>+IF(VLOOKUP(A9,'Estado SCI'!$A$16:$G$59,7,0)="","",VLOOKUP(A9,'Estado SCI'!$A$16:$G$59,7,0))</f>
        <v>En proceso</v>
      </c>
      <c r="J9" s="143">
        <f t="shared" si="2"/>
        <v>0.5</v>
      </c>
      <c r="K9" s="144">
        <f t="shared" si="1"/>
        <v>0.875</v>
      </c>
    </row>
    <row r="10" spans="1:11" x14ac:dyDescent="0.2">
      <c r="A10" s="142" t="s">
        <v>171</v>
      </c>
      <c r="B10" s="142" t="s">
        <v>32</v>
      </c>
      <c r="C10" s="142" t="s">
        <v>33</v>
      </c>
      <c r="D10" s="142" t="s">
        <v>56</v>
      </c>
      <c r="E10" s="142" t="s">
        <v>57</v>
      </c>
      <c r="F10" s="142" t="str">
        <f>+VLOOKUP(A10,'Estado SCI'!$A$16:$I$59,9,0)</f>
        <v>Mantenimiento del control</v>
      </c>
      <c r="G10" s="142">
        <f>+VLOOKUP(A10,'Estado SCI'!$A$16:$L$59,12,0)</f>
        <v>20.123456789123001</v>
      </c>
      <c r="H10" s="142">
        <f t="shared" si="0"/>
        <v>9</v>
      </c>
      <c r="I10" s="142" t="str">
        <f>+IF(VLOOKUP(A10,'Estado SCI'!$A$16:$G$59,7,0)="","",VLOOKUP(A10,'Estado SCI'!$A$16:$G$59,7,0))</f>
        <v>Si</v>
      </c>
      <c r="J10" s="143">
        <f t="shared" si="2"/>
        <v>1</v>
      </c>
      <c r="K10" s="144">
        <f t="shared" si="1"/>
        <v>0.875</v>
      </c>
    </row>
    <row r="11" spans="1:11" x14ac:dyDescent="0.2">
      <c r="A11" s="142" t="s">
        <v>172</v>
      </c>
      <c r="B11" s="142" t="s">
        <v>32</v>
      </c>
      <c r="C11" s="142" t="s">
        <v>33</v>
      </c>
      <c r="D11" s="142" t="s">
        <v>58</v>
      </c>
      <c r="E11" s="142" t="s">
        <v>59</v>
      </c>
      <c r="F11" s="142" t="str">
        <f>+VLOOKUP(A11,'Estado SCI'!$A$16:$I$59,9,0)</f>
        <v>Mantenimiento del control</v>
      </c>
      <c r="G11" s="142">
        <f>+VLOOKUP(A11,'Estado SCI'!$A$16:$L$59,12,0)</f>
        <v>20.123456789123399</v>
      </c>
      <c r="H11" s="142">
        <f t="shared" si="0"/>
        <v>10</v>
      </c>
      <c r="I11" s="142" t="str">
        <f>+IF(VLOOKUP(A11,'Estado SCI'!$A$16:$G$59,7,0)="","",VLOOKUP(A11,'Estado SCI'!$A$16:$G$59,7,0))</f>
        <v>Si</v>
      </c>
      <c r="J11" s="143">
        <f t="shared" si="2"/>
        <v>1</v>
      </c>
      <c r="K11" s="144">
        <f t="shared" si="1"/>
        <v>0.875</v>
      </c>
    </row>
    <row r="12" spans="1:11" x14ac:dyDescent="0.2">
      <c r="A12" s="142" t="s">
        <v>173</v>
      </c>
      <c r="B12" s="142" t="s">
        <v>32</v>
      </c>
      <c r="C12" s="142" t="s">
        <v>33</v>
      </c>
      <c r="D12" s="142" t="s">
        <v>60</v>
      </c>
      <c r="E12" s="142" t="s">
        <v>61</v>
      </c>
      <c r="F12" s="142" t="str">
        <f>+VLOOKUP(A12,'Estado SCI'!$A$16:$I$59,9,0)</f>
        <v>Mantenimiento del control</v>
      </c>
      <c r="G12" s="142">
        <f>+VLOOKUP(A12,'Estado SCI'!$A$16:$L$59,12,0)</f>
        <v>20.123456789123448</v>
      </c>
      <c r="H12" s="142">
        <f t="shared" si="0"/>
        <v>11</v>
      </c>
      <c r="I12" s="142" t="str">
        <f>+IF(VLOOKUP(A12,'Estado SCI'!$A$16:$G$59,7,0)="","",VLOOKUP(A12,'Estado SCI'!$A$16:$G$59,7,0))</f>
        <v>Si</v>
      </c>
      <c r="J12" s="143">
        <f t="shared" si="2"/>
        <v>1</v>
      </c>
      <c r="K12" s="144">
        <f t="shared" si="1"/>
        <v>0.875</v>
      </c>
    </row>
    <row r="13" spans="1:11" x14ac:dyDescent="0.2">
      <c r="A13" s="142" t="s">
        <v>174</v>
      </c>
      <c r="B13" s="142" t="s">
        <v>32</v>
      </c>
      <c r="C13" s="142" t="s">
        <v>33</v>
      </c>
      <c r="D13" s="142" t="s">
        <v>62</v>
      </c>
      <c r="E13" s="142" t="s">
        <v>63</v>
      </c>
      <c r="F13" s="142" t="str">
        <f>+VLOOKUP(A13,'Estado SCI'!$A$16:$I$59,9,0)</f>
        <v>Mantenimiento del control</v>
      </c>
      <c r="G13" s="142">
        <f>+VLOOKUP(A13,'Estado SCI'!$A$16:$L$59,12,0)</f>
        <v>20.123456789123455</v>
      </c>
      <c r="H13" s="142">
        <f t="shared" si="0"/>
        <v>12</v>
      </c>
      <c r="I13" s="142" t="str">
        <f>+IF(VLOOKUP(A13,'Estado SCI'!$A$16:$G$59,7,0)="","",VLOOKUP(A13,'Estado SCI'!$A$16:$G$59,7,0))</f>
        <v>Si</v>
      </c>
      <c r="J13" s="143">
        <f t="shared" si="2"/>
        <v>1</v>
      </c>
      <c r="K13" s="144">
        <f t="shared" si="1"/>
        <v>0.875</v>
      </c>
    </row>
    <row r="14" spans="1:11" ht="15" customHeight="1" x14ac:dyDescent="0.2">
      <c r="A14" s="142" t="s">
        <v>175</v>
      </c>
      <c r="B14" s="142" t="str">
        <f>+VLOOKUP(A14,'Estado SCI'!$A$16:$C$59,3,0)</f>
        <v>EVALUACION DEL RIESGO</v>
      </c>
      <c r="C14" s="142" t="s">
        <v>67</v>
      </c>
      <c r="D14" s="142" t="s">
        <v>34</v>
      </c>
      <c r="E14" s="142" t="s">
        <v>176</v>
      </c>
      <c r="F14" s="142" t="str">
        <f>+VLOOKUP(A14,'Estado SCI'!$A$16:$I$59,9,0)</f>
        <v>Oportunidad de mejora</v>
      </c>
      <c r="G14" s="142">
        <f>+VLOOKUP(A14,'Estado SCI'!$A$16:$L$59,12,0)</f>
        <v>30.23</v>
      </c>
      <c r="H14" s="142">
        <f t="shared" si="0"/>
        <v>13</v>
      </c>
      <c r="I14" s="142" t="str">
        <f>+IF(VLOOKUP(A14,'Estado SCI'!$A$16:$G$59,7,0)="","",VLOOKUP(A14,'Estado SCI'!$A$16:$G$59,7,0))</f>
        <v>En proceso</v>
      </c>
      <c r="J14" s="143">
        <f t="shared" si="2"/>
        <v>0.5</v>
      </c>
      <c r="K14" s="144">
        <f t="shared" si="1"/>
        <v>0.95</v>
      </c>
    </row>
    <row r="15" spans="1:11" ht="15" customHeight="1" x14ac:dyDescent="0.2">
      <c r="A15" s="142" t="s">
        <v>177</v>
      </c>
      <c r="B15" s="142" t="s">
        <v>66</v>
      </c>
      <c r="C15" s="142" t="s">
        <v>67</v>
      </c>
      <c r="D15" s="142" t="s">
        <v>37</v>
      </c>
      <c r="E15" s="142" t="s">
        <v>178</v>
      </c>
      <c r="F15" s="142" t="str">
        <f>+VLOOKUP(A15,'Estado SCI'!$A$16:$I$59,9,0)</f>
        <v>Mantenimiento del control</v>
      </c>
      <c r="G15" s="142">
        <f>+VLOOKUP(A15,'Estado SCI'!$A$16:$L$59,12,0)</f>
        <v>40.234000000000002</v>
      </c>
      <c r="H15" s="142">
        <f t="shared" si="0"/>
        <v>14</v>
      </c>
      <c r="I15" s="142" t="str">
        <f>+IF(VLOOKUP(A15,'Estado SCI'!$A$16:$G$59,7,0)="","",VLOOKUP(A15,'Estado SCI'!$A$16:$G$59,7,0))</f>
        <v>Si</v>
      </c>
      <c r="J15" s="143">
        <f t="shared" si="2"/>
        <v>1</v>
      </c>
      <c r="K15" s="144">
        <f t="shared" si="1"/>
        <v>0.95</v>
      </c>
    </row>
    <row r="16" spans="1:11" ht="15" customHeight="1" x14ac:dyDescent="0.2">
      <c r="A16" s="142" t="s">
        <v>179</v>
      </c>
      <c r="B16" s="142" t="s">
        <v>66</v>
      </c>
      <c r="C16" s="142" t="s">
        <v>67</v>
      </c>
      <c r="D16" s="142" t="s">
        <v>41</v>
      </c>
      <c r="E16" s="142" t="s">
        <v>180</v>
      </c>
      <c r="F16" s="142" t="str">
        <f>+VLOOKUP(A16,'Estado SCI'!$A$16:$I$59,9,0)</f>
        <v>Mantenimiento del control</v>
      </c>
      <c r="G16" s="142">
        <f>+VLOOKUP(A16,'Estado SCI'!$A$16:$L$59,12,0)</f>
        <v>40.234499999999997</v>
      </c>
      <c r="H16" s="142">
        <f t="shared" si="0"/>
        <v>15</v>
      </c>
      <c r="I16" s="142" t="str">
        <f>+IF(VLOOKUP(A16,'Estado SCI'!$A$16:$G$59,7,0)="","",VLOOKUP(A16,'Estado SCI'!$A$16:$G$59,7,0))</f>
        <v>Si</v>
      </c>
      <c r="J16" s="143">
        <f t="shared" si="2"/>
        <v>1</v>
      </c>
      <c r="K16" s="144">
        <f t="shared" si="1"/>
        <v>0.95</v>
      </c>
    </row>
    <row r="17" spans="1:11" ht="15.75" customHeight="1" x14ac:dyDescent="0.2">
      <c r="A17" s="142" t="s">
        <v>181</v>
      </c>
      <c r="B17" s="142" t="s">
        <v>66</v>
      </c>
      <c r="C17" s="142" t="s">
        <v>67</v>
      </c>
      <c r="D17" s="142" t="s">
        <v>43</v>
      </c>
      <c r="E17" s="142" t="s">
        <v>71</v>
      </c>
      <c r="F17" s="142" t="str">
        <f>+VLOOKUP(A17,'Estado SCI'!$A$16:$I$59,9,0)</f>
        <v>Mantenimiento del control</v>
      </c>
      <c r="G17" s="142">
        <f>+VLOOKUP(A17,'Estado SCI'!$A$16:$L$59,12,0)</f>
        <v>40.234560000000002</v>
      </c>
      <c r="H17" s="142">
        <f t="shared" si="0"/>
        <v>16</v>
      </c>
      <c r="I17" s="142" t="str">
        <f>+IF(VLOOKUP(A17,'Estado SCI'!$A$16:$G$59,7,0)="","",VLOOKUP(A17,'Estado SCI'!$A$16:$G$59,7,0))</f>
        <v>Si</v>
      </c>
      <c r="J17" s="143">
        <f t="shared" si="2"/>
        <v>1</v>
      </c>
      <c r="K17" s="144">
        <f t="shared" si="1"/>
        <v>0.95</v>
      </c>
    </row>
    <row r="18" spans="1:11" ht="15" customHeight="1" x14ac:dyDescent="0.2">
      <c r="A18" s="142" t="s">
        <v>182</v>
      </c>
      <c r="B18" s="142" t="s">
        <v>66</v>
      </c>
      <c r="C18" s="142" t="s">
        <v>86</v>
      </c>
      <c r="D18" s="142" t="s">
        <v>34</v>
      </c>
      <c r="E18" s="142" t="s">
        <v>74</v>
      </c>
      <c r="F18" s="142" t="str">
        <f>+VLOOKUP(A18,'Estado SCI'!$A$16:$I$59,9,0)</f>
        <v>Mantenimiento del control</v>
      </c>
      <c r="G18" s="142">
        <f>+VLOOKUP(A18,'Estado SCI'!$A$16:$L$59,12,0)</f>
        <v>40.234566999999998</v>
      </c>
      <c r="H18" s="142">
        <f t="shared" si="0"/>
        <v>17</v>
      </c>
      <c r="I18" s="142" t="str">
        <f>+IF(VLOOKUP(A18,'Estado SCI'!$A$16:$G$59,7,0)="","",VLOOKUP(A18,'Estado SCI'!$A$16:$G$59,7,0))</f>
        <v>Si</v>
      </c>
      <c r="J18" s="143">
        <f t="shared" si="2"/>
        <v>1</v>
      </c>
      <c r="K18" s="144">
        <f t="shared" si="1"/>
        <v>0.95</v>
      </c>
    </row>
    <row r="19" spans="1:11" ht="15" customHeight="1" x14ac:dyDescent="0.2">
      <c r="A19" s="142" t="s">
        <v>183</v>
      </c>
      <c r="B19" s="142" t="s">
        <v>66</v>
      </c>
      <c r="C19" s="142" t="s">
        <v>86</v>
      </c>
      <c r="D19" s="142" t="s">
        <v>37</v>
      </c>
      <c r="E19" s="142" t="s">
        <v>76</v>
      </c>
      <c r="F19" s="142" t="str">
        <f>+VLOOKUP(A19,'Estado SCI'!$A$16:$I$59,9,0)</f>
        <v>Mantenimiento del control</v>
      </c>
      <c r="G19" s="142">
        <f>+VLOOKUP(A19,'Estado SCI'!$A$16:$L$59,12,0)</f>
        <v>40.234567800000001</v>
      </c>
      <c r="H19" s="142">
        <f t="shared" si="0"/>
        <v>18</v>
      </c>
      <c r="I19" s="142" t="str">
        <f>+IF(VLOOKUP(A19,'Estado SCI'!$A$16:$G$59,7,0)="","",VLOOKUP(A19,'Estado SCI'!$A$16:$G$59,7,0))</f>
        <v>Si</v>
      </c>
      <c r="J19" s="143">
        <f t="shared" si="2"/>
        <v>1</v>
      </c>
      <c r="K19" s="144">
        <f t="shared" si="1"/>
        <v>0.95</v>
      </c>
    </row>
    <row r="20" spans="1:11" ht="15" customHeight="1" x14ac:dyDescent="0.2">
      <c r="A20" s="142" t="s">
        <v>184</v>
      </c>
      <c r="B20" s="142" t="s">
        <v>66</v>
      </c>
      <c r="C20" s="142" t="s">
        <v>86</v>
      </c>
      <c r="D20" s="142" t="s">
        <v>41</v>
      </c>
      <c r="E20" s="142" t="s">
        <v>77</v>
      </c>
      <c r="F20" s="142" t="str">
        <f>+VLOOKUP(A20,'Estado SCI'!$A$16:$I$59,9,0)</f>
        <v>Mantenimiento del control</v>
      </c>
      <c r="G20" s="142">
        <f>+VLOOKUP(A20,'Estado SCI'!$A$16:$L$59,12,0)</f>
        <v>40.234567890000001</v>
      </c>
      <c r="H20" s="142">
        <f t="shared" si="0"/>
        <v>19</v>
      </c>
      <c r="I20" s="142" t="str">
        <f>+IF(VLOOKUP(A20,'Estado SCI'!$A$16:$G$59,7,0)="","",VLOOKUP(A20,'Estado SCI'!$A$16:$G$59,7,0))</f>
        <v>Si</v>
      </c>
      <c r="J20" s="143">
        <f t="shared" si="2"/>
        <v>1</v>
      </c>
      <c r="K20" s="144">
        <f t="shared" si="1"/>
        <v>0.95</v>
      </c>
    </row>
    <row r="21" spans="1:11" ht="15.75" customHeight="1" x14ac:dyDescent="0.2">
      <c r="A21" s="142" t="s">
        <v>185</v>
      </c>
      <c r="B21" s="142" t="s">
        <v>66</v>
      </c>
      <c r="C21" s="142" t="s">
        <v>86</v>
      </c>
      <c r="D21" s="142" t="s">
        <v>34</v>
      </c>
      <c r="E21" s="142" t="s">
        <v>80</v>
      </c>
      <c r="F21" s="142" t="str">
        <f>+VLOOKUP(A21,'Estado SCI'!$A$16:$I$59,9,0)</f>
        <v>Mantenimiento del control</v>
      </c>
      <c r="G21" s="142">
        <f>+VLOOKUP(A21,'Estado SCI'!$A$16:$L$59,12,0)</f>
        <v>40.234567891200001</v>
      </c>
      <c r="H21" s="142">
        <f t="shared" si="0"/>
        <v>20</v>
      </c>
      <c r="I21" s="142" t="str">
        <f>+IF(VLOOKUP(A21,'Estado SCI'!$A$16:$G$59,7,0)="","",VLOOKUP(A21,'Estado SCI'!$A$16:$G$59,7,0))</f>
        <v>Si</v>
      </c>
      <c r="J21" s="143">
        <f t="shared" si="2"/>
        <v>1</v>
      </c>
      <c r="K21" s="144">
        <f t="shared" si="1"/>
        <v>0.95</v>
      </c>
    </row>
    <row r="22" spans="1:11" ht="15" customHeight="1" x14ac:dyDescent="0.2">
      <c r="A22" s="142" t="s">
        <v>186</v>
      </c>
      <c r="B22" s="142" t="s">
        <v>66</v>
      </c>
      <c r="C22" s="142" t="s">
        <v>95</v>
      </c>
      <c r="D22" s="142" t="s">
        <v>37</v>
      </c>
      <c r="E22" s="142" t="s">
        <v>81</v>
      </c>
      <c r="F22" s="142" t="str">
        <f>+VLOOKUP(A22,'Estado SCI'!$A$16:$I$59,9,0)</f>
        <v>Mantenimiento del control</v>
      </c>
      <c r="G22" s="142">
        <f>+VLOOKUP(A22,'Estado SCI'!$A$16:$L$59,12,0)</f>
        <v>40.23456789123</v>
      </c>
      <c r="H22" s="142">
        <f t="shared" si="0"/>
        <v>21</v>
      </c>
      <c r="I22" s="142" t="str">
        <f>+IF(VLOOKUP(A22,'Estado SCI'!$A$16:$G$59,7,0)="","",VLOOKUP(A22,'Estado SCI'!$A$16:$G$59,7,0))</f>
        <v>Si</v>
      </c>
      <c r="J22" s="143">
        <f t="shared" si="2"/>
        <v>1</v>
      </c>
      <c r="K22" s="144">
        <f t="shared" si="1"/>
        <v>0.95</v>
      </c>
    </row>
    <row r="23" spans="1:11" ht="15" customHeight="1" x14ac:dyDescent="0.2">
      <c r="A23" s="142" t="s">
        <v>187</v>
      </c>
      <c r="B23" s="142" t="s">
        <v>66</v>
      </c>
      <c r="C23" s="142" t="s">
        <v>95</v>
      </c>
      <c r="D23" s="142" t="s">
        <v>41</v>
      </c>
      <c r="E23" s="142" t="s">
        <v>83</v>
      </c>
      <c r="F23" s="142" t="str">
        <f>+VLOOKUP(A23,'Estado SCI'!$A$16:$I$59,9,0)</f>
        <v>Mantenimiento del control</v>
      </c>
      <c r="G23" s="142">
        <f>+VLOOKUP(A23,'Estado SCI'!$A$16:$L$59,12,0)</f>
        <v>40.234567891234001</v>
      </c>
      <c r="H23" s="142">
        <f t="shared" si="0"/>
        <v>22</v>
      </c>
      <c r="I23" s="142" t="str">
        <f>+IF(VLOOKUP(A23,'Estado SCI'!$A$16:$G$59,7,0)="","",VLOOKUP(A23,'Estado SCI'!$A$16:$G$59,7,0))</f>
        <v>Si</v>
      </c>
      <c r="J23" s="143">
        <f t="shared" si="2"/>
        <v>1</v>
      </c>
      <c r="K23" s="144">
        <f t="shared" si="1"/>
        <v>0.95</v>
      </c>
    </row>
    <row r="24" spans="1:11" ht="15" customHeight="1" x14ac:dyDescent="0.2">
      <c r="A24" s="142" t="s">
        <v>188</v>
      </c>
      <c r="B24" s="142" t="str">
        <f>+VLOOKUP(A24,'Estado SCI'!$A$16:$C$59,3,0)</f>
        <v>ACTIVIDADES DE CONTROL</v>
      </c>
      <c r="C24" s="142" t="s">
        <v>95</v>
      </c>
      <c r="D24" s="142" t="s">
        <v>34</v>
      </c>
      <c r="E24" s="142" t="s">
        <v>87</v>
      </c>
      <c r="F24" s="142" t="str">
        <f>+VLOOKUP(A24,'Estado SCI'!$A$16:$I$59,9,0)</f>
        <v>Mantenimiento del control</v>
      </c>
      <c r="G24" s="142">
        <f>+VLOOKUP(A24,'Estado SCI'!$A$16:$L$59,12,0)</f>
        <v>60.31</v>
      </c>
      <c r="H24" s="142">
        <f t="shared" si="0"/>
        <v>25</v>
      </c>
      <c r="I24" s="142" t="str">
        <f>+IF(VLOOKUP(A24,'Estado SCI'!$A$16:$G$59,7,0)="","",VLOOKUP(A24,'Estado SCI'!$A$16:$G$59,7,0))</f>
        <v>Si</v>
      </c>
      <c r="J24" s="143">
        <f t="shared" si="2"/>
        <v>1</v>
      </c>
      <c r="K24" s="144">
        <f t="shared" si="1"/>
        <v>0.8</v>
      </c>
    </row>
    <row r="25" spans="1:11" ht="15" customHeight="1" x14ac:dyDescent="0.2">
      <c r="A25" s="142" t="s">
        <v>189</v>
      </c>
      <c r="B25" s="142" t="s">
        <v>85</v>
      </c>
      <c r="C25" s="142" t="s">
        <v>95</v>
      </c>
      <c r="D25" s="142" t="s">
        <v>37</v>
      </c>
      <c r="E25" s="142" t="s">
        <v>88</v>
      </c>
      <c r="F25" s="142" t="str">
        <f>+VLOOKUP(A25,'Estado SCI'!$A$16:$I$59,9,0)</f>
        <v>Oportunidad de mejora</v>
      </c>
      <c r="G25" s="142">
        <f>+VLOOKUP(A25,'Estado SCI'!$A$16:$L$59,12,0)</f>
        <v>50.323</v>
      </c>
      <c r="H25" s="142">
        <f t="shared" si="0"/>
        <v>23</v>
      </c>
      <c r="I25" s="142" t="str">
        <f>+IF(VLOOKUP(A25,'Estado SCI'!$A$16:$G$59,7,0)="","",VLOOKUP(A25,'Estado SCI'!$A$16:$G$59,7,0))</f>
        <v>En proceso</v>
      </c>
      <c r="J25" s="143">
        <f t="shared" si="2"/>
        <v>0.5</v>
      </c>
      <c r="K25" s="144">
        <f t="shared" si="1"/>
        <v>0.8</v>
      </c>
    </row>
    <row r="26" spans="1:11" ht="15" customHeight="1" x14ac:dyDescent="0.2">
      <c r="A26" s="142" t="s">
        <v>190</v>
      </c>
      <c r="B26" s="142" t="s">
        <v>85</v>
      </c>
      <c r="C26" s="142" t="s">
        <v>95</v>
      </c>
      <c r="D26" s="142" t="s">
        <v>41</v>
      </c>
      <c r="E26" s="142" t="s">
        <v>89</v>
      </c>
      <c r="F26" s="142" t="str">
        <f>+VLOOKUP(A26,'Estado SCI'!$A$16:$I$59,9,0)</f>
        <v>Oportunidad de mejora</v>
      </c>
      <c r="G26" s="142">
        <f>+VLOOKUP(A26,'Estado SCI'!$A$16:$L$59,12,0)</f>
        <v>50.323999999999998</v>
      </c>
      <c r="H26" s="142">
        <f t="shared" si="0"/>
        <v>24</v>
      </c>
      <c r="I26" s="142" t="str">
        <f>+IF(VLOOKUP(A26,'Estado SCI'!$A$16:$G$59,7,0)="","",VLOOKUP(A26,'Estado SCI'!$A$16:$G$59,7,0))</f>
        <v>En proceso</v>
      </c>
      <c r="J26" s="143">
        <f t="shared" si="2"/>
        <v>0.5</v>
      </c>
      <c r="K26" s="144">
        <f t="shared" si="1"/>
        <v>0.8</v>
      </c>
    </row>
    <row r="27" spans="1:11" ht="15.75" customHeight="1" x14ac:dyDescent="0.2">
      <c r="A27" s="142" t="s">
        <v>191</v>
      </c>
      <c r="B27" s="142" t="s">
        <v>85</v>
      </c>
      <c r="C27" s="142" t="s">
        <v>95</v>
      </c>
      <c r="D27" s="142" t="s">
        <v>43</v>
      </c>
      <c r="E27" s="142" t="s">
        <v>90</v>
      </c>
      <c r="F27" s="142" t="str">
        <f>+VLOOKUP(A27,'Estado SCI'!$A$16:$I$59,9,0)</f>
        <v>Mantenimiento del control</v>
      </c>
      <c r="G27" s="142">
        <f>+VLOOKUP(A27,'Estado SCI'!$A$16:$L$59,12,0)</f>
        <v>60.325000000000003</v>
      </c>
      <c r="H27" s="142">
        <f t="shared" si="0"/>
        <v>26</v>
      </c>
      <c r="I27" s="142" t="str">
        <f>+IF(VLOOKUP(A27,'Estado SCI'!$A$16:$G$59,7,0)="","",VLOOKUP(A27,'Estado SCI'!$A$16:$G$59,7,0))</f>
        <v>Si</v>
      </c>
      <c r="J27" s="143">
        <f t="shared" si="2"/>
        <v>1</v>
      </c>
      <c r="K27" s="144">
        <f t="shared" si="1"/>
        <v>0.8</v>
      </c>
    </row>
    <row r="28" spans="1:11" ht="15" customHeight="1" x14ac:dyDescent="0.2">
      <c r="A28" s="142" t="s">
        <v>192</v>
      </c>
      <c r="B28" s="142" t="s">
        <v>85</v>
      </c>
      <c r="C28" s="142" t="s">
        <v>111</v>
      </c>
      <c r="D28" s="142" t="s">
        <v>46</v>
      </c>
      <c r="E28" s="142" t="s">
        <v>92</v>
      </c>
      <c r="F28" s="142" t="str">
        <f>+VLOOKUP(A28,'Estado SCI'!$A$16:$I$59,9,0)</f>
        <v>Mantenimiento del control</v>
      </c>
      <c r="G28" s="142">
        <f>+VLOOKUP(A28,'Estado SCI'!$A$16:$L$59,12,0)</f>
        <v>60.326000000000001</v>
      </c>
      <c r="H28" s="142">
        <f t="shared" si="0"/>
        <v>27</v>
      </c>
      <c r="I28" s="142" t="str">
        <f>+IF(VLOOKUP(A28,'Estado SCI'!$A$16:$G$59,7,0)="","",VLOOKUP(A28,'Estado SCI'!$A$16:$G$59,7,0))</f>
        <v>Si</v>
      </c>
      <c r="J28" s="143">
        <f t="shared" si="2"/>
        <v>1</v>
      </c>
      <c r="K28" s="144">
        <f t="shared" si="1"/>
        <v>0.8</v>
      </c>
    </row>
    <row r="29" spans="1:11" ht="15" customHeight="1" x14ac:dyDescent="0.2">
      <c r="A29" s="142" t="s">
        <v>193</v>
      </c>
      <c r="B29" s="142" t="str">
        <f>+VLOOKUP(A29,'Estado SCI'!$A$16:$C$59,3,0)</f>
        <v>INFORMACION Y COMUNICACIÓN</v>
      </c>
      <c r="C29" s="142" t="s">
        <v>111</v>
      </c>
      <c r="D29" s="142" t="s">
        <v>34</v>
      </c>
      <c r="E29" s="142" t="s">
        <v>96</v>
      </c>
      <c r="F29" s="142" t="str">
        <f>+VLOOKUP(A29,'Estado SCI'!$A$16:$I$59,9,0)</f>
        <v>Mantenimiento del control</v>
      </c>
      <c r="G29" s="142">
        <f>+VLOOKUP(A29,'Estado SCI'!$A$16:$L$59,12,0)</f>
        <v>80.412000000000006</v>
      </c>
      <c r="H29" s="142">
        <f t="shared" si="0"/>
        <v>31</v>
      </c>
      <c r="I29" s="142" t="str">
        <f>+IF(VLOOKUP(A29,'Estado SCI'!$A$16:$G$59,7,0)="","",VLOOKUP(A29,'Estado SCI'!$A$16:$G$59,7,0))</f>
        <v>Si</v>
      </c>
      <c r="J29" s="143">
        <f t="shared" si="2"/>
        <v>1</v>
      </c>
      <c r="K29" s="144">
        <f t="shared" si="1"/>
        <v>0.7142857142857143</v>
      </c>
    </row>
    <row r="30" spans="1:11" ht="15" customHeight="1" x14ac:dyDescent="0.2">
      <c r="A30" s="142" t="s">
        <v>194</v>
      </c>
      <c r="B30" s="142" t="s">
        <v>94</v>
      </c>
      <c r="C30" s="142" t="s">
        <v>111</v>
      </c>
      <c r="D30" s="142" t="s">
        <v>37</v>
      </c>
      <c r="E30" s="142" t="s">
        <v>98</v>
      </c>
      <c r="F30" s="142" t="str">
        <f>+VLOOKUP(A30,'Estado SCI'!$A$16:$I$59,9,0)</f>
        <v>Mantenimiento del control</v>
      </c>
      <c r="G30" s="142">
        <f>+VLOOKUP(A30,'Estado SCI'!$A$16:$L$59,12,0)</f>
        <v>80.412300000000002</v>
      </c>
      <c r="H30" s="142">
        <f t="shared" si="0"/>
        <v>32</v>
      </c>
      <c r="I30" s="142" t="str">
        <f>+IF(VLOOKUP(A30,'Estado SCI'!$A$16:$G$59,7,0)="","",VLOOKUP(A30,'Estado SCI'!$A$16:$G$59,7,0))</f>
        <v>Si</v>
      </c>
      <c r="J30" s="143">
        <f t="shared" si="2"/>
        <v>1</v>
      </c>
      <c r="K30" s="144">
        <f t="shared" si="1"/>
        <v>0.7142857142857143</v>
      </c>
    </row>
    <row r="31" spans="1:11" ht="15.75" customHeight="1" x14ac:dyDescent="0.2">
      <c r="A31" s="142" t="s">
        <v>195</v>
      </c>
      <c r="B31" s="142" t="s">
        <v>94</v>
      </c>
      <c r="C31" s="142" t="s">
        <v>111</v>
      </c>
      <c r="D31" s="142" t="s">
        <v>41</v>
      </c>
      <c r="E31" s="142" t="s">
        <v>100</v>
      </c>
      <c r="F31" s="142" t="str">
        <f>+VLOOKUP(A31,'Estado SCI'!$A$16:$I$59,9,0)</f>
        <v>Mantenimiento del control</v>
      </c>
      <c r="G31" s="142">
        <f>+VLOOKUP(A31,'Estado SCI'!$A$16:$L$59,12,0)</f>
        <v>80.41234</v>
      </c>
      <c r="H31" s="142">
        <f t="shared" si="0"/>
        <v>33</v>
      </c>
      <c r="I31" s="142" t="str">
        <f>+IF(VLOOKUP(A31,'Estado SCI'!$A$16:$G$59,7,0)="","",VLOOKUP(A31,'Estado SCI'!$A$16:$G$59,7,0))</f>
        <v>Si</v>
      </c>
      <c r="J31" s="143">
        <f t="shared" si="2"/>
        <v>1</v>
      </c>
      <c r="K31" s="144">
        <f t="shared" si="1"/>
        <v>0.7142857142857143</v>
      </c>
    </row>
    <row r="32" spans="1:11" x14ac:dyDescent="0.2">
      <c r="A32" s="142" t="s">
        <v>196</v>
      </c>
      <c r="B32" s="142" t="s">
        <v>94</v>
      </c>
      <c r="C32" s="142" t="s">
        <v>119</v>
      </c>
      <c r="D32" s="142" t="s">
        <v>43</v>
      </c>
      <c r="E32" s="142" t="s">
        <v>102</v>
      </c>
      <c r="F32" s="142" t="str">
        <f>+VLOOKUP(A32,'Estado SCI'!$A$16:$I$59,9,0)</f>
        <v>Deficiencia de control</v>
      </c>
      <c r="G32" s="142">
        <f>+VLOOKUP(A32,'Estado SCI'!$A$16:$L$59,12,0)</f>
        <v>60.412345000000002</v>
      </c>
      <c r="H32" s="142">
        <f t="shared" si="0"/>
        <v>28</v>
      </c>
      <c r="I32" s="142" t="str">
        <f>+IF(VLOOKUP(A32,'Estado SCI'!$A$16:$G$59,7,0)="","",VLOOKUP(A32,'Estado SCI'!$A$16:$G$59,7,0))</f>
        <v>No</v>
      </c>
      <c r="J32" s="143">
        <f t="shared" si="2"/>
        <v>0</v>
      </c>
      <c r="K32" s="144">
        <f t="shared" si="1"/>
        <v>0.7142857142857143</v>
      </c>
    </row>
    <row r="33" spans="1:11" x14ac:dyDescent="0.2">
      <c r="A33" s="142" t="s">
        <v>197</v>
      </c>
      <c r="B33" s="142" t="s">
        <v>94</v>
      </c>
      <c r="C33" s="142" t="s">
        <v>198</v>
      </c>
      <c r="D33" s="142" t="s">
        <v>46</v>
      </c>
      <c r="E33" s="142" t="s">
        <v>103</v>
      </c>
      <c r="F33" s="142" t="str">
        <f>+VLOOKUP(A33,'Estado SCI'!$A$16:$I$59,9,0)</f>
        <v>Oportunidad de mejora</v>
      </c>
      <c r="G33" s="142">
        <f>+VLOOKUP(A33,'Estado SCI'!$A$16:$L$59,12,0)</f>
        <v>70.412345599999995</v>
      </c>
      <c r="H33" s="142">
        <f t="shared" si="0"/>
        <v>29</v>
      </c>
      <c r="I33" s="142" t="str">
        <f>+IF(VLOOKUP(A33,'Estado SCI'!$A$16:$G$59,7,0)="","",VLOOKUP(A33,'Estado SCI'!$A$16:$G$59,7,0))</f>
        <v>En proceso</v>
      </c>
      <c r="J33" s="143">
        <f t="shared" si="2"/>
        <v>0.5</v>
      </c>
      <c r="K33" s="144">
        <f t="shared" si="1"/>
        <v>0.7142857142857143</v>
      </c>
    </row>
    <row r="34" spans="1:11" x14ac:dyDescent="0.2">
      <c r="A34" s="142" t="s">
        <v>199</v>
      </c>
      <c r="B34" s="142" t="s">
        <v>94</v>
      </c>
      <c r="C34" s="142" t="s">
        <v>198</v>
      </c>
      <c r="D34" s="142" t="s">
        <v>49</v>
      </c>
      <c r="E34" s="142" t="s">
        <v>105</v>
      </c>
      <c r="F34" s="142" t="str">
        <f>+VLOOKUP(A34,'Estado SCI'!$A$16:$I$59,9,0)</f>
        <v>Oportunidad de mejora</v>
      </c>
      <c r="G34" s="142">
        <f>+VLOOKUP(A34,'Estado SCI'!$A$16:$L$59,12,0)</f>
        <v>70.412345669999993</v>
      </c>
      <c r="H34" s="142">
        <f t="shared" si="0"/>
        <v>30</v>
      </c>
      <c r="I34" s="142" t="str">
        <f>+IF(VLOOKUP(A34,'Estado SCI'!$A$16:$G$59,7,0)="","",VLOOKUP(A34,'Estado SCI'!$A$16:$G$59,7,0))</f>
        <v>En proceso</v>
      </c>
      <c r="J34" s="143">
        <f t="shared" si="2"/>
        <v>0.5</v>
      </c>
      <c r="K34" s="144">
        <f t="shared" si="1"/>
        <v>0.7142857142857143</v>
      </c>
    </row>
    <row r="35" spans="1:11" x14ac:dyDescent="0.2">
      <c r="A35" s="142" t="s">
        <v>200</v>
      </c>
      <c r="B35" s="142" t="s">
        <v>94</v>
      </c>
      <c r="C35" s="142" t="s">
        <v>198</v>
      </c>
      <c r="D35" s="142" t="s">
        <v>52</v>
      </c>
      <c r="E35" s="142" t="s">
        <v>107</v>
      </c>
      <c r="F35" s="142" t="str">
        <f>+VLOOKUP(A35,'Estado SCI'!$A$16:$I$59,9,0)</f>
        <v>Mantenimiento del control</v>
      </c>
      <c r="G35" s="142">
        <f>+VLOOKUP(A35,'Estado SCI'!$A$16:$L$59,12,0)</f>
        <v>80.412345677999994</v>
      </c>
      <c r="H35" s="142">
        <f t="shared" si="0"/>
        <v>34</v>
      </c>
      <c r="I35" s="142" t="str">
        <f>+IF(VLOOKUP(A35,'Estado SCI'!$A$16:$G$59,7,0)="","",VLOOKUP(A35,'Estado SCI'!$A$16:$G$59,7,0))</f>
        <v>Si</v>
      </c>
      <c r="J35" s="143">
        <f t="shared" si="2"/>
        <v>1</v>
      </c>
      <c r="K35" s="144">
        <f t="shared" si="1"/>
        <v>0.7142857142857143</v>
      </c>
    </row>
    <row r="36" spans="1:11" x14ac:dyDescent="0.2">
      <c r="A36" s="142" t="s">
        <v>201</v>
      </c>
      <c r="B36" s="142" t="str">
        <f>+VLOOKUP(A36,'Estado SCI'!$A$16:$C$59,3,0)</f>
        <v>ACTIVIDADES DE MONITOREO</v>
      </c>
      <c r="C36" s="142" t="s">
        <v>198</v>
      </c>
      <c r="D36" s="142" t="s">
        <v>34</v>
      </c>
      <c r="E36" s="142" t="s">
        <v>112</v>
      </c>
      <c r="F36" s="142" t="str">
        <f>+VLOOKUP(A36,'Estado SCI'!$A$16:$I$59,9,0)</f>
        <v>Mantenimiento del control</v>
      </c>
      <c r="G36" s="142">
        <f>+VLOOKUP(A36,'Estado SCI'!$A$16:$L$59,12,0)</f>
        <v>120.851</v>
      </c>
      <c r="H36" s="142">
        <f t="shared" si="0"/>
        <v>37</v>
      </c>
      <c r="I36" s="142" t="str">
        <f>+IF(VLOOKUP(A36,'Estado SCI'!$A$16:$G$59,7,0)="","",VLOOKUP(A36,'Estado SCI'!$A$16:$G$59,7,0))</f>
        <v>Si</v>
      </c>
      <c r="J36" s="143">
        <f t="shared" si="2"/>
        <v>1</v>
      </c>
      <c r="K36" s="144">
        <f t="shared" si="1"/>
        <v>0.9</v>
      </c>
    </row>
    <row r="37" spans="1:11" x14ac:dyDescent="0.2">
      <c r="A37" s="142" t="s">
        <v>202</v>
      </c>
      <c r="B37" s="142" t="s">
        <v>110</v>
      </c>
      <c r="C37" s="142" t="s">
        <v>198</v>
      </c>
      <c r="D37" s="142" t="s">
        <v>43</v>
      </c>
      <c r="E37" s="142" t="s">
        <v>113</v>
      </c>
      <c r="F37" s="142" t="str">
        <f>+VLOOKUP(A37,'Estado SCI'!$A$16:$I$59,9,0)</f>
        <v>Mantenimiento del control</v>
      </c>
      <c r="G37" s="142">
        <f>+VLOOKUP(A37,'Estado SCI'!$A$16:$L$59,12,0)</f>
        <v>120.85120000000001</v>
      </c>
      <c r="H37" s="142">
        <f t="shared" si="0"/>
        <v>38</v>
      </c>
      <c r="I37" s="142" t="str">
        <f>+IF(VLOOKUP(A37,'Estado SCI'!$A$16:$G$59,7,0)="","",VLOOKUP(A37,'Estado SCI'!$A$16:$G$59,7,0))</f>
        <v>Si</v>
      </c>
      <c r="J37" s="143">
        <f t="shared" si="2"/>
        <v>1</v>
      </c>
      <c r="K37" s="144">
        <f t="shared" si="1"/>
        <v>0.9</v>
      </c>
    </row>
    <row r="38" spans="1:11" x14ac:dyDescent="0.2">
      <c r="A38" s="142" t="s">
        <v>203</v>
      </c>
      <c r="B38" s="142" t="s">
        <v>110</v>
      </c>
      <c r="C38" s="142" t="s">
        <v>73</v>
      </c>
      <c r="D38" s="142" t="s">
        <v>49</v>
      </c>
      <c r="E38" s="142" t="s">
        <v>114</v>
      </c>
      <c r="F38" s="142" t="str">
        <f>+VLOOKUP(A38,'Estado SCI'!$A$16:$I$59,9,0)</f>
        <v>Mantenimiento del control</v>
      </c>
      <c r="G38" s="142">
        <f>+VLOOKUP(A38,'Estado SCI'!$A$16:$L$59,12,0)</f>
        <v>120.85123</v>
      </c>
      <c r="H38" s="142">
        <f t="shared" si="0"/>
        <v>39</v>
      </c>
      <c r="I38" s="142" t="str">
        <f>+IF(VLOOKUP(A38,'Estado SCI'!$A$16:$G$59,7,0)="","",VLOOKUP(A38,'Estado SCI'!$A$16:$G$59,7,0))</f>
        <v>Si</v>
      </c>
      <c r="J38" s="143">
        <f t="shared" si="2"/>
        <v>1</v>
      </c>
      <c r="K38" s="144">
        <f t="shared" si="1"/>
        <v>0.9</v>
      </c>
    </row>
    <row r="39" spans="1:11" x14ac:dyDescent="0.2">
      <c r="A39" s="142" t="s">
        <v>204</v>
      </c>
      <c r="B39" s="142" t="s">
        <v>110</v>
      </c>
      <c r="C39" s="142" t="s">
        <v>73</v>
      </c>
      <c r="D39" s="142" t="s">
        <v>52</v>
      </c>
      <c r="E39" s="142" t="s">
        <v>116</v>
      </c>
      <c r="F39" s="142" t="str">
        <f>+VLOOKUP(A39,'Estado SCI'!$A$16:$I$59,9,0)</f>
        <v>Mantenimiento del control</v>
      </c>
      <c r="G39" s="142">
        <f>+VLOOKUP(A39,'Estado SCI'!$A$16:$L$59,12,0)</f>
        <v>120.85123400000001</v>
      </c>
      <c r="H39" s="142">
        <f t="shared" si="0"/>
        <v>40</v>
      </c>
      <c r="I39" s="142" t="str">
        <f>+IF(VLOOKUP(A39,'Estado SCI'!$A$16:$G$59,7,0)="","",VLOOKUP(A39,'Estado SCI'!$A$16:$G$59,7,0))</f>
        <v>Si</v>
      </c>
      <c r="J39" s="143">
        <f t="shared" si="2"/>
        <v>1</v>
      </c>
      <c r="K39" s="144">
        <f t="shared" si="1"/>
        <v>0.9</v>
      </c>
    </row>
    <row r="40" spans="1:11" x14ac:dyDescent="0.2">
      <c r="A40" s="142" t="s">
        <v>205</v>
      </c>
      <c r="B40" s="142" t="s">
        <v>110</v>
      </c>
      <c r="C40" s="142" t="s">
        <v>73</v>
      </c>
      <c r="D40" s="142" t="s">
        <v>54</v>
      </c>
      <c r="E40" s="142" t="s">
        <v>120</v>
      </c>
      <c r="F40" s="142" t="str">
        <f>+VLOOKUP(A40,'Estado SCI'!$A$16:$I$59,9,0)</f>
        <v>Mantenimiento del control</v>
      </c>
      <c r="G40" s="142">
        <f>+VLOOKUP(A40,'Estado SCI'!$A$16:$L$59,12,0)</f>
        <v>120.8512345</v>
      </c>
      <c r="H40" s="142">
        <f t="shared" si="0"/>
        <v>41</v>
      </c>
      <c r="I40" s="142" t="str">
        <f>+IF(VLOOKUP(A40,'Estado SCI'!$A$16:$G$59,7,0)="","",VLOOKUP(A40,'Estado SCI'!$A$16:$G$59,7,0))</f>
        <v>Si</v>
      </c>
      <c r="J40" s="143">
        <f t="shared" si="2"/>
        <v>1</v>
      </c>
      <c r="K40" s="144">
        <f t="shared" si="1"/>
        <v>0.9</v>
      </c>
    </row>
    <row r="41" spans="1:11" x14ac:dyDescent="0.2">
      <c r="A41" s="142" t="s">
        <v>206</v>
      </c>
      <c r="B41" s="142" t="s">
        <v>110</v>
      </c>
      <c r="C41" s="142" t="s">
        <v>73</v>
      </c>
      <c r="D41" s="142" t="s">
        <v>34</v>
      </c>
      <c r="E41" s="142" t="s">
        <v>124</v>
      </c>
      <c r="F41" s="142" t="str">
        <f>+VLOOKUP(A41,'Estado SCI'!$A$16:$I$59,9,0)</f>
        <v>Mantenimiento del control</v>
      </c>
      <c r="G41" s="142">
        <f>+VLOOKUP(A41,'Estado SCI'!$A$16:$L$59,12,0)</f>
        <v>120.85123455999999</v>
      </c>
      <c r="H41" s="142">
        <f t="shared" si="0"/>
        <v>42</v>
      </c>
      <c r="I41" s="142" t="str">
        <f>+IF(VLOOKUP(A41,'Estado SCI'!$A$16:$G$59,7,0)="","",VLOOKUP(A41,'Estado SCI'!$A$16:$G$59,7,0))</f>
        <v>Si</v>
      </c>
      <c r="J41" s="143">
        <f t="shared" si="2"/>
        <v>1</v>
      </c>
      <c r="K41" s="144">
        <f t="shared" si="1"/>
        <v>0.9</v>
      </c>
    </row>
    <row r="42" spans="1:11" x14ac:dyDescent="0.2">
      <c r="A42" s="142" t="s">
        <v>207</v>
      </c>
      <c r="B42" s="142" t="s">
        <v>110</v>
      </c>
      <c r="C42" s="142" t="s">
        <v>79</v>
      </c>
      <c r="D42" s="142" t="s">
        <v>37</v>
      </c>
      <c r="E42" s="142" t="s">
        <v>126</v>
      </c>
      <c r="F42" s="142" t="str">
        <f>+VLOOKUP(A42,'Estado SCI'!$A$16:$I$59,9,0)</f>
        <v>Mantenimiento del control</v>
      </c>
      <c r="G42" s="142">
        <f>+VLOOKUP(A42,'Estado SCI'!$A$16:$L$59,12,0)</f>
        <v>120.85123456700001</v>
      </c>
      <c r="H42" s="142">
        <f t="shared" si="0"/>
        <v>43</v>
      </c>
      <c r="I42" s="142" t="str">
        <f>+IF(VLOOKUP(A42,'Estado SCI'!$A$16:$G$59,7,0)="","",VLOOKUP(A42,'Estado SCI'!$A$16:$G$59,7,0))</f>
        <v>Si</v>
      </c>
      <c r="J42" s="143">
        <f t="shared" si="2"/>
        <v>1</v>
      </c>
      <c r="K42" s="144">
        <f t="shared" si="1"/>
        <v>0.9</v>
      </c>
    </row>
    <row r="43" spans="1:11" x14ac:dyDescent="0.2">
      <c r="A43" s="142" t="s">
        <v>208</v>
      </c>
      <c r="B43" s="142" t="s">
        <v>110</v>
      </c>
      <c r="C43" s="142" t="s">
        <v>79</v>
      </c>
      <c r="D43" s="142" t="s">
        <v>41</v>
      </c>
      <c r="E43" s="142" t="s">
        <v>127</v>
      </c>
      <c r="F43" s="142" t="str">
        <f>+VLOOKUP(A43,'Estado SCI'!$A$16:$I$59,9,0)</f>
        <v>Oportunidad de mejora</v>
      </c>
      <c r="G43" s="142">
        <f>+VLOOKUP(A43,'Estado SCI'!$A$16:$L$59,12,0)</f>
        <v>100.85123456780001</v>
      </c>
      <c r="H43" s="142">
        <f t="shared" si="0"/>
        <v>35</v>
      </c>
      <c r="I43" s="142" t="str">
        <f>+IF(VLOOKUP(A43,'Estado SCI'!$A$16:$G$59,7,0)="","",VLOOKUP(A43,'Estado SCI'!$A$16:$G$59,7,0))</f>
        <v>En proceso</v>
      </c>
      <c r="J43" s="143">
        <f t="shared" si="2"/>
        <v>0.5</v>
      </c>
      <c r="K43" s="144">
        <f t="shared" si="1"/>
        <v>0.9</v>
      </c>
    </row>
    <row r="44" spans="1:11" x14ac:dyDescent="0.2">
      <c r="A44" s="142" t="s">
        <v>209</v>
      </c>
      <c r="B44" s="142" t="s">
        <v>110</v>
      </c>
      <c r="C44" s="142" t="s">
        <v>79</v>
      </c>
      <c r="D44" s="142" t="s">
        <v>43</v>
      </c>
      <c r="E44" s="142" t="s">
        <v>128</v>
      </c>
      <c r="F44" s="142" t="str">
        <f>+VLOOKUP(A44,'Estado SCI'!$A$16:$I$59,9,0)</f>
        <v>Oportunidad de mejora</v>
      </c>
      <c r="G44" s="142">
        <f>+VLOOKUP(A44,'Estado SCI'!$A$16:$L$59,12,0)</f>
        <v>100.85123456789</v>
      </c>
      <c r="H44" s="142">
        <f t="shared" si="0"/>
        <v>36</v>
      </c>
      <c r="I44" s="142" t="str">
        <f>+IF(VLOOKUP(A44,'Estado SCI'!$A$16:$G$59,7,0)="","",VLOOKUP(A44,'Estado SCI'!$A$16:$G$59,7,0))</f>
        <v>En proceso</v>
      </c>
      <c r="J44" s="143">
        <f t="shared" si="2"/>
        <v>0.5</v>
      </c>
      <c r="K44" s="144">
        <f t="shared" si="1"/>
        <v>0.9</v>
      </c>
    </row>
    <row r="45" spans="1:11" x14ac:dyDescent="0.2">
      <c r="A45" s="142" t="s">
        <v>210</v>
      </c>
      <c r="B45" s="142" t="s">
        <v>110</v>
      </c>
      <c r="C45" s="142" t="s">
        <v>79</v>
      </c>
      <c r="D45" s="142" t="s">
        <v>46</v>
      </c>
      <c r="E45" s="142" t="s">
        <v>129</v>
      </c>
      <c r="F45" s="142" t="str">
        <f>+VLOOKUP(A45,'Estado SCI'!$A$16:$I$59,9,0)</f>
        <v>Mantenimiento del control</v>
      </c>
      <c r="G45" s="142">
        <f>+VLOOKUP(A45,'Estado SCI'!$A$16:$L$59,12,0)</f>
        <v>120.851234567891</v>
      </c>
      <c r="H45" s="142">
        <f t="shared" si="0"/>
        <v>44</v>
      </c>
      <c r="I45" s="142" t="str">
        <f>+IF(VLOOKUP(A45,'Estado SCI'!$A$16:$G$59,7,0)="","",VLOOKUP(A45,'Estado SCI'!$A$16:$G$59,7,0))</f>
        <v>Si</v>
      </c>
      <c r="J45" s="143">
        <f t="shared" si="2"/>
        <v>1</v>
      </c>
      <c r="K45" s="144">
        <f t="shared" si="1"/>
        <v>0.9</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CARLOS EDUARDO MEJIA SALAZAR</cp:lastModifiedBy>
  <cp:revision/>
  <dcterms:created xsi:type="dcterms:W3CDTF">2020-04-28T13:58:09Z</dcterms:created>
  <dcterms:modified xsi:type="dcterms:W3CDTF">2025-07-28T02:32:40Z</dcterms:modified>
</cp:coreProperties>
</file>